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D4B0D77C-0CCF-4668-8C0C-08998EB7C266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2">จันทบุรี!$A$1:$P$677</definedName>
    <definedName name="_xlnm.Print_Area" localSheetId="3">ฉะเชิงเทรา!$A$1:$P$677</definedName>
    <definedName name="_xlnm.Print_Area" localSheetId="4">ชลบุรี!$A$1:$P$677</definedName>
    <definedName name="_xlnm.Print_Area" localSheetId="5">ชัยนาท!$A$1:$P$677</definedName>
    <definedName name="_xlnm.Print_Area" localSheetId="6">ตราด!$A$1:$P$677</definedName>
    <definedName name="_xlnm.Print_Area" localSheetId="7">นครนายก!$A$1:$P$677</definedName>
    <definedName name="_xlnm.Print_Area" localSheetId="8">นครปฐม!$A$1:$P$677</definedName>
    <definedName name="_xlnm.Print_Area" localSheetId="9">ปทุมธานี!$A$1:$P$677</definedName>
    <definedName name="_xlnm.Print_Area" localSheetId="10">ประจวบคีรีขันธ์!$A$1:$P$677</definedName>
    <definedName name="_xlnm.Print_Area" localSheetId="11">ปราจีนบุรี!$A$1:$P$677</definedName>
    <definedName name="_xlnm.Print_Area" localSheetId="12">พระนครศรีอยุธยา!$A$1:$P$677</definedName>
    <definedName name="_xlnm.Print_Area" localSheetId="13">เพชรบุรี!$A$1:$P$677</definedName>
    <definedName name="_xlnm.Print_Area" localSheetId="14">ระยอง!$A$1:$P$677</definedName>
    <definedName name="_xlnm.Print_Area" localSheetId="15">ราชบุรี!$A$1:$P$677</definedName>
    <definedName name="_xlnm.Print_Area" localSheetId="16">ลพบุรี!$A$1:$P$677</definedName>
    <definedName name="_xlnm.Print_Area" localSheetId="17">สระแก้ว!$A$1:$P$677</definedName>
    <definedName name="_xlnm.Print_Area" localSheetId="18">สระบุรี!$A$1:$P$677</definedName>
    <definedName name="_xlnm.Print_Area" localSheetId="19">สิงห์บุรี!$A$1:$P$677</definedName>
    <definedName name="_xlnm.Print_Area" localSheetId="20">สุพรรณบุรี!$A$1:$P$677</definedName>
    <definedName name="_xlnm.Print_Area" localSheetId="21">อ่างทอง!$A$1:$P$677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K369" i="22" s="1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P330" i="22"/>
  <c r="O330" i="22"/>
  <c r="N330" i="22"/>
  <c r="M330" i="22"/>
  <c r="L330" i="22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P314" i="22" s="1"/>
  <c r="O313" i="22"/>
  <c r="N311" i="22"/>
  <c r="M311" i="22"/>
  <c r="L311" i="22"/>
  <c r="O311" i="22" s="1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P294" i="22" s="1"/>
  <c r="O293" i="22"/>
  <c r="P291" i="22"/>
  <c r="N291" i="22"/>
  <c r="M291" i="22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L277" i="22"/>
  <c r="L276" i="22"/>
  <c r="N275" i="22"/>
  <c r="M275" i="22"/>
  <c r="P275" i="22" s="1"/>
  <c r="O274" i="22"/>
  <c r="N272" i="22"/>
  <c r="M272" i="22"/>
  <c r="P272" i="22" s="1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P254" i="22" s="1"/>
  <c r="O253" i="22"/>
  <c r="N251" i="22"/>
  <c r="M251" i="22"/>
  <c r="L251" i="22"/>
  <c r="O251" i="22" s="1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P224" i="22" s="1"/>
  <c r="O223" i="22"/>
  <c r="P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O141" i="22"/>
  <c r="N141" i="22"/>
  <c r="M141" i="22"/>
  <c r="P141" i="22" s="1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O121" i="22"/>
  <c r="P119" i="22"/>
  <c r="N119" i="22"/>
  <c r="M119" i="22"/>
  <c r="L119" i="22"/>
  <c r="O119" i="22" s="1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M96" i="22" s="1"/>
  <c r="P96" i="22" s="1"/>
  <c r="O97" i="22"/>
  <c r="O95" i="22"/>
  <c r="N95" i="22"/>
  <c r="M95" i="22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L72" i="22"/>
  <c r="L71" i="22"/>
  <c r="N70" i="22"/>
  <c r="M70" i="22"/>
  <c r="P70" i="22" s="1"/>
  <c r="O69" i="22"/>
  <c r="N67" i="22"/>
  <c r="M67" i="22"/>
  <c r="P67" i="22" s="1"/>
  <c r="L67" i="22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O54" i="22"/>
  <c r="N54" i="22"/>
  <c r="M54" i="22"/>
  <c r="L54" i="22"/>
  <c r="N49" i="22"/>
  <c r="L49" i="22"/>
  <c r="O49" i="22" s="1"/>
  <c r="L47" i="22"/>
  <c r="L46" i="22"/>
  <c r="N45" i="22"/>
  <c r="M45" i="22"/>
  <c r="P42" i="22"/>
  <c r="O42" i="22"/>
  <c r="N42" i="22"/>
  <c r="M42" i="22"/>
  <c r="L42" i="22"/>
  <c r="P36" i="22"/>
  <c r="O36" i="22"/>
  <c r="P35" i="22"/>
  <c r="O35" i="22"/>
  <c r="P34" i="22"/>
  <c r="M34" i="22"/>
  <c r="M33" i="22"/>
  <c r="P33" i="22" s="1"/>
  <c r="M32" i="22"/>
  <c r="M31" i="22"/>
  <c r="P31" i="22" s="1"/>
  <c r="N25" i="22"/>
  <c r="N15" i="22" s="1"/>
  <c r="M25" i="22"/>
  <c r="L25" i="22"/>
  <c r="O25" i="22" s="1"/>
  <c r="N24" i="22"/>
  <c r="M24" i="22"/>
  <c r="P24" i="22" s="1"/>
  <c r="N23" i="22"/>
  <c r="M23" i="22"/>
  <c r="P23" i="22" s="1"/>
  <c r="P21" i="22"/>
  <c r="O21" i="22"/>
  <c r="N21" i="22"/>
  <c r="M21" i="22"/>
  <c r="L21" i="22"/>
  <c r="L19" i="22" s="1"/>
  <c r="O19" i="22" s="1"/>
  <c r="N19" i="22"/>
  <c r="M19" i="22"/>
  <c r="L15" i="22"/>
  <c r="O15" i="22" s="1"/>
  <c r="P13" i="22"/>
  <c r="M13" i="22"/>
  <c r="M11" i="22"/>
  <c r="P11" i="22" s="1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O648" i="21" s="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M337" i="21" s="1"/>
  <c r="L335" i="21"/>
  <c r="L334" i="21"/>
  <c r="N333" i="21"/>
  <c r="M333" i="21"/>
  <c r="O332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O291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O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M220" i="21" s="1"/>
  <c r="O223" i="21"/>
  <c r="O221" i="21"/>
  <c r="N221" i="21"/>
  <c r="M221" i="21"/>
  <c r="P221" i="21" s="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M140" i="21" s="1"/>
  <c r="O143" i="21"/>
  <c r="O141" i="21"/>
  <c r="N141" i="21"/>
  <c r="M141" i="21"/>
  <c r="P141" i="21" s="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M120" i="21" s="1"/>
  <c r="O121" i="21"/>
  <c r="N119" i="21"/>
  <c r="M119" i="21"/>
  <c r="P119" i="21" s="1"/>
  <c r="L119" i="21"/>
  <c r="O119" i="21" s="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P98" i="21" s="1"/>
  <c r="O97" i="21"/>
  <c r="N95" i="21"/>
  <c r="M95" i="21"/>
  <c r="L95" i="21"/>
  <c r="O95" i="21" s="1"/>
  <c r="J93" i="21"/>
  <c r="I93" i="21"/>
  <c r="K93" i="21" s="1"/>
  <c r="J92" i="21"/>
  <c r="I92" i="21"/>
  <c r="K92" i="21" s="1"/>
  <c r="J90" i="21"/>
  <c r="J89" i="21"/>
  <c r="J88" i="21"/>
  <c r="I88" i="2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P67" i="21"/>
  <c r="N67" i="21"/>
  <c r="M67" i="21"/>
  <c r="L67" i="21"/>
  <c r="J65" i="21"/>
  <c r="I65" i="21"/>
  <c r="J64" i="21"/>
  <c r="I64" i="21"/>
  <c r="N61" i="21"/>
  <c r="L61" i="21"/>
  <c r="O61" i="21" s="1"/>
  <c r="L59" i="21"/>
  <c r="L58" i="21"/>
  <c r="N57" i="21"/>
  <c r="M57" i="21"/>
  <c r="M55" i="21" s="1"/>
  <c r="N54" i="21"/>
  <c r="M54" i="21"/>
  <c r="L54" i="21"/>
  <c r="O54" i="21" s="1"/>
  <c r="N49" i="21"/>
  <c r="L49" i="21"/>
  <c r="L47" i="21"/>
  <c r="L46" i="21"/>
  <c r="N45" i="21"/>
  <c r="M45" i="21"/>
  <c r="M43" i="21" s="1"/>
  <c r="M41" i="21" s="1"/>
  <c r="N42" i="21"/>
  <c r="M42" i="21"/>
  <c r="P42" i="21" s="1"/>
  <c r="L42" i="21"/>
  <c r="P36" i="21"/>
  <c r="O36" i="21"/>
  <c r="P35" i="21"/>
  <c r="O35" i="21"/>
  <c r="M34" i="21"/>
  <c r="P34" i="21" s="1"/>
  <c r="M33" i="21"/>
  <c r="P33" i="21" s="1"/>
  <c r="M32" i="21"/>
  <c r="P31" i="21"/>
  <c r="M31" i="21"/>
  <c r="M29" i="21" s="1"/>
  <c r="N25" i="21"/>
  <c r="M25" i="21"/>
  <c r="L25" i="21"/>
  <c r="O25" i="21" s="1"/>
  <c r="P24" i="21"/>
  <c r="N24" i="21"/>
  <c r="M24" i="21"/>
  <c r="P23" i="21"/>
  <c r="N23" i="21"/>
  <c r="M23" i="21"/>
  <c r="O21" i="21"/>
  <c r="N21" i="21"/>
  <c r="M21" i="21"/>
  <c r="P21" i="21" s="1"/>
  <c r="L21" i="21"/>
  <c r="N19" i="21"/>
  <c r="M19" i="21"/>
  <c r="L19" i="21"/>
  <c r="O19" i="21" s="1"/>
  <c r="N15" i="21"/>
  <c r="M14" i="21"/>
  <c r="P14" i="21" s="1"/>
  <c r="M13" i="21"/>
  <c r="P13" i="21" s="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O648" i="20" s="1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K369" i="20" s="1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M337" i="20" s="1"/>
  <c r="M26" i="20" s="1"/>
  <c r="L335" i="20"/>
  <c r="L334" i="20"/>
  <c r="N333" i="20"/>
  <c r="M333" i="20"/>
  <c r="O332" i="20"/>
  <c r="N330" i="20"/>
  <c r="M330" i="20"/>
  <c r="L330" i="20"/>
  <c r="O330" i="20" s="1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O313" i="20"/>
  <c r="P311" i="20"/>
  <c r="O311" i="20"/>
  <c r="N311" i="20"/>
  <c r="M311" i="20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O291" i="20"/>
  <c r="N291" i="20"/>
  <c r="M291" i="20"/>
  <c r="P291" i="20" s="1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P272" i="20"/>
  <c r="O272" i="20"/>
  <c r="N272" i="20"/>
  <c r="M272" i="20"/>
  <c r="L272" i="20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O251" i="20"/>
  <c r="N251" i="20"/>
  <c r="M251" i="20"/>
  <c r="P251" i="20" s="1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N221" i="20"/>
  <c r="M221" i="20"/>
  <c r="P221" i="20" s="1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L124" i="20"/>
  <c r="L123" i="20"/>
  <c r="N122" i="20"/>
  <c r="M122" i="20"/>
  <c r="P122" i="20" s="1"/>
  <c r="O121" i="20"/>
  <c r="N119" i="20"/>
  <c r="M119" i="20"/>
  <c r="P119" i="20" s="1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P95" i="20"/>
  <c r="N95" i="20"/>
  <c r="M95" i="20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P70" i="20" s="1"/>
  <c r="O69" i="20"/>
  <c r="P67" i="20"/>
  <c r="O67" i="20"/>
  <c r="N67" i="20"/>
  <c r="M67" i="20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P54" i="20"/>
  <c r="O54" i="20"/>
  <c r="N54" i="20"/>
  <c r="M54" i="20"/>
  <c r="L54" i="20"/>
  <c r="N49" i="20"/>
  <c r="L49" i="20"/>
  <c r="L47" i="20"/>
  <c r="L46" i="20"/>
  <c r="N45" i="20"/>
  <c r="M45" i="20"/>
  <c r="P42" i="20"/>
  <c r="O42" i="20"/>
  <c r="N42" i="20"/>
  <c r="M42" i="20"/>
  <c r="L42" i="20"/>
  <c r="P36" i="20"/>
  <c r="O36" i="20"/>
  <c r="P35" i="20"/>
  <c r="O35" i="20"/>
  <c r="P34" i="20"/>
  <c r="M34" i="20"/>
  <c r="P33" i="20"/>
  <c r="M33" i="20"/>
  <c r="P32" i="20"/>
  <c r="M32" i="20"/>
  <c r="M31" i="20"/>
  <c r="P31" i="20" s="1"/>
  <c r="M30" i="20"/>
  <c r="P30" i="20" s="1"/>
  <c r="P25" i="20"/>
  <c r="O25" i="20"/>
  <c r="N25" i="20"/>
  <c r="N15" i="20" s="1"/>
  <c r="M25" i="20"/>
  <c r="L25" i="20"/>
  <c r="N24" i="20"/>
  <c r="M24" i="20"/>
  <c r="P24" i="20" s="1"/>
  <c r="N23" i="20"/>
  <c r="M23" i="20"/>
  <c r="P23" i="20" s="1"/>
  <c r="P21" i="20"/>
  <c r="N21" i="20"/>
  <c r="M21" i="20"/>
  <c r="M19" i="20" s="1"/>
  <c r="L21" i="20"/>
  <c r="O21" i="20" s="1"/>
  <c r="N19" i="20"/>
  <c r="M15" i="20"/>
  <c r="P15" i="20" s="1"/>
  <c r="L15" i="20"/>
  <c r="O15" i="20" s="1"/>
  <c r="M11" i="20"/>
  <c r="P11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2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O353" i="19" s="1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P291" i="19"/>
  <c r="O291" i="19"/>
  <c r="N291" i="19"/>
  <c r="M291" i="19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N272" i="19"/>
  <c r="M272" i="19"/>
  <c r="P272" i="19" s="1"/>
  <c r="L272" i="19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P251" i="19"/>
  <c r="N251" i="19"/>
  <c r="M251" i="19"/>
  <c r="L251" i="19"/>
  <c r="O251" i="19" s="1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O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P141" i="19"/>
  <c r="N141" i="19"/>
  <c r="M141" i="19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O119" i="19"/>
  <c r="N119" i="19"/>
  <c r="M119" i="19"/>
  <c r="P119" i="19" s="1"/>
  <c r="L119" i="19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M102" i="19" s="1"/>
  <c r="L100" i="19"/>
  <c r="L99" i="19"/>
  <c r="N98" i="19"/>
  <c r="M98" i="19"/>
  <c r="O97" i="19"/>
  <c r="P95" i="19"/>
  <c r="N95" i="19"/>
  <c r="M95" i="19"/>
  <c r="L95" i="19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O69" i="19"/>
  <c r="O67" i="19"/>
  <c r="N67" i="19"/>
  <c r="M67" i="19"/>
  <c r="P67" i="19" s="1"/>
  <c r="L67" i="19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M55" i="19" s="1"/>
  <c r="M53" i="19" s="1"/>
  <c r="P54" i="19"/>
  <c r="N54" i="19"/>
  <c r="M54" i="19"/>
  <c r="L54" i="19"/>
  <c r="N49" i="19"/>
  <c r="L49" i="19"/>
  <c r="O49" i="19" s="1"/>
  <c r="L47" i="19"/>
  <c r="L46" i="19"/>
  <c r="N45" i="19"/>
  <c r="M45" i="19"/>
  <c r="O42" i="19"/>
  <c r="N42" i="19"/>
  <c r="M42" i="19"/>
  <c r="L42" i="19"/>
  <c r="P36" i="19"/>
  <c r="O36" i="19"/>
  <c r="P35" i="19"/>
  <c r="O35" i="19"/>
  <c r="P34" i="19"/>
  <c r="M34" i="19"/>
  <c r="M33" i="19"/>
  <c r="P33" i="19" s="1"/>
  <c r="P32" i="19"/>
  <c r="M32" i="19"/>
  <c r="M31" i="19"/>
  <c r="P31" i="19" s="1"/>
  <c r="P30" i="19"/>
  <c r="M30" i="19"/>
  <c r="P25" i="19"/>
  <c r="N25" i="19"/>
  <c r="N15" i="19" s="1"/>
  <c r="M25" i="19"/>
  <c r="L25" i="19"/>
  <c r="O25" i="19" s="1"/>
  <c r="N24" i="19"/>
  <c r="M24" i="19"/>
  <c r="P24" i="19" s="1"/>
  <c r="P23" i="19"/>
  <c r="N23" i="19"/>
  <c r="M23" i="19"/>
  <c r="P21" i="19"/>
  <c r="N21" i="19"/>
  <c r="M21" i="19"/>
  <c r="M19" i="19" s="1"/>
  <c r="L21" i="19"/>
  <c r="O21" i="19" s="1"/>
  <c r="N19" i="19"/>
  <c r="M15" i="19"/>
  <c r="P15" i="19" s="1"/>
  <c r="M13" i="19"/>
  <c r="P13" i="19" s="1"/>
  <c r="M11" i="19"/>
  <c r="P11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O648" i="18" s="1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6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O352" i="18" s="1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O330" i="18"/>
  <c r="N330" i="18"/>
  <c r="M330" i="18"/>
  <c r="P330" i="18" s="1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N311" i="18"/>
  <c r="M311" i="18"/>
  <c r="P311" i="18" s="1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P291" i="18"/>
  <c r="N291" i="18"/>
  <c r="M291" i="18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N272" i="18"/>
  <c r="M272" i="18"/>
  <c r="P272" i="18" s="1"/>
  <c r="L272" i="18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N251" i="18"/>
  <c r="M251" i="18"/>
  <c r="P251" i="18" s="1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N221" i="18"/>
  <c r="M221" i="18"/>
  <c r="L221" i="18"/>
  <c r="O221" i="18" s="1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L146" i="18"/>
  <c r="L145" i="18"/>
  <c r="N144" i="18"/>
  <c r="M144" i="18"/>
  <c r="M142" i="18" s="1"/>
  <c r="O143" i="18"/>
  <c r="P141" i="18"/>
  <c r="N141" i="18"/>
  <c r="M141" i="18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P98" i="18" s="1"/>
  <c r="O97" i="18"/>
  <c r="P95" i="18"/>
  <c r="O95" i="18"/>
  <c r="N95" i="18"/>
  <c r="M95" i="18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O69" i="18"/>
  <c r="P67" i="18"/>
  <c r="O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M53" i="18" s="1"/>
  <c r="P54" i="18"/>
  <c r="N54" i="18"/>
  <c r="M54" i="18"/>
  <c r="L54" i="18"/>
  <c r="O54" i="18" s="1"/>
  <c r="N49" i="18"/>
  <c r="L49" i="18"/>
  <c r="O49" i="18" s="1"/>
  <c r="L47" i="18"/>
  <c r="L46" i="18"/>
  <c r="N45" i="18"/>
  <c r="M45" i="18"/>
  <c r="M43" i="18" s="1"/>
  <c r="P42" i="18"/>
  <c r="N42" i="18"/>
  <c r="M42" i="18"/>
  <c r="L42" i="18"/>
  <c r="O42" i="18" s="1"/>
  <c r="P36" i="18"/>
  <c r="O36" i="18"/>
  <c r="P35" i="18"/>
  <c r="O35" i="18"/>
  <c r="M34" i="18"/>
  <c r="P34" i="18" s="1"/>
  <c r="P33" i="18"/>
  <c r="M33" i="18"/>
  <c r="M32" i="18"/>
  <c r="P32" i="18" s="1"/>
  <c r="P31" i="18"/>
  <c r="M31" i="18"/>
  <c r="M29" i="18" s="1"/>
  <c r="P30" i="18"/>
  <c r="M30" i="18"/>
  <c r="N25" i="18"/>
  <c r="M25" i="18"/>
  <c r="P25" i="18" s="1"/>
  <c r="L25" i="18"/>
  <c r="L19" i="18" s="1"/>
  <c r="N24" i="18"/>
  <c r="M24" i="18"/>
  <c r="P24" i="18" s="1"/>
  <c r="P23" i="18"/>
  <c r="N23" i="18"/>
  <c r="M23" i="18"/>
  <c r="M13" i="18" s="1"/>
  <c r="P13" i="18" s="1"/>
  <c r="N21" i="18"/>
  <c r="N19" i="18" s="1"/>
  <c r="M21" i="18"/>
  <c r="P21" i="18" s="1"/>
  <c r="L21" i="18"/>
  <c r="O21" i="18" s="1"/>
  <c r="N15" i="18"/>
  <c r="M15" i="18"/>
  <c r="P15" i="18" s="1"/>
  <c r="M14" i="18"/>
  <c r="P14" i="18" s="1"/>
  <c r="M11" i="18"/>
  <c r="P11" i="18" s="1"/>
  <c r="M9" i="18"/>
  <c r="P9" i="18" s="1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N581" i="17"/>
  <c r="L581" i="17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P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N311" i="17"/>
  <c r="M311" i="17"/>
  <c r="P311" i="17" s="1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L296" i="17"/>
  <c r="L295" i="17"/>
  <c r="N294" i="17"/>
  <c r="M294" i="17"/>
  <c r="O293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M271" i="17" s="1"/>
  <c r="O274" i="17"/>
  <c r="O272" i="17"/>
  <c r="N272" i="17"/>
  <c r="M272" i="17"/>
  <c r="P272" i="17" s="1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N251" i="17"/>
  <c r="M251" i="17"/>
  <c r="P251" i="17" s="1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L226" i="17"/>
  <c r="L225" i="17"/>
  <c r="N224" i="17"/>
  <c r="M224" i="17"/>
  <c r="O223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L146" i="17"/>
  <c r="L145" i="17"/>
  <c r="N144" i="17"/>
  <c r="M144" i="17"/>
  <c r="M142" i="17" s="1"/>
  <c r="O143" i="17"/>
  <c r="P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M118" i="17" s="1"/>
  <c r="O121" i="17"/>
  <c r="P119" i="17"/>
  <c r="O119" i="17"/>
  <c r="N119" i="17"/>
  <c r="M119" i="17"/>
  <c r="L119" i="17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O97" i="17"/>
  <c r="P95" i="17"/>
  <c r="O95" i="17"/>
  <c r="N95" i="17"/>
  <c r="M95" i="17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M74" i="17" s="1"/>
  <c r="M26" i="17" s="1"/>
  <c r="L72" i="17"/>
  <c r="L71" i="17"/>
  <c r="N70" i="17"/>
  <c r="M70" i="17"/>
  <c r="O69" i="17"/>
  <c r="P67" i="17"/>
  <c r="O67" i="17"/>
  <c r="N67" i="17"/>
  <c r="M67" i="17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P54" i="17"/>
  <c r="N54" i="17"/>
  <c r="M54" i="17"/>
  <c r="L54" i="17"/>
  <c r="N49" i="17"/>
  <c r="L49" i="17"/>
  <c r="L47" i="17"/>
  <c r="L46" i="17"/>
  <c r="N45" i="17"/>
  <c r="M45" i="17"/>
  <c r="N42" i="17"/>
  <c r="M42" i="17"/>
  <c r="L42" i="17"/>
  <c r="O42" i="17" s="1"/>
  <c r="P36" i="17"/>
  <c r="O36" i="17"/>
  <c r="P35" i="17"/>
  <c r="O35" i="17"/>
  <c r="M34" i="17"/>
  <c r="P34" i="17" s="1"/>
  <c r="M33" i="17"/>
  <c r="P33" i="17" s="1"/>
  <c r="M32" i="17"/>
  <c r="P32" i="17" s="1"/>
  <c r="P31" i="17"/>
  <c r="M31" i="17"/>
  <c r="P30" i="17"/>
  <c r="M30" i="17"/>
  <c r="P29" i="17"/>
  <c r="M29" i="17"/>
  <c r="M28" i="17"/>
  <c r="P28" i="17" s="1"/>
  <c r="N25" i="17"/>
  <c r="M25" i="17"/>
  <c r="P25" i="17" s="1"/>
  <c r="L25" i="17"/>
  <c r="N24" i="17"/>
  <c r="M24" i="17"/>
  <c r="P24" i="17" s="1"/>
  <c r="P23" i="17"/>
  <c r="N23" i="17"/>
  <c r="M23" i="17"/>
  <c r="N21" i="17"/>
  <c r="M21" i="17"/>
  <c r="P21" i="17" s="1"/>
  <c r="L21" i="17"/>
  <c r="O21" i="17" s="1"/>
  <c r="N15" i="17"/>
  <c r="M15" i="17"/>
  <c r="P15" i="17" s="1"/>
  <c r="M14" i="17"/>
  <c r="P14" i="17" s="1"/>
  <c r="M13" i="17"/>
  <c r="P13" i="17" s="1"/>
  <c r="P11" i="17"/>
  <c r="M11" i="17"/>
  <c r="P9" i="17"/>
  <c r="M9" i="17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6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N330" i="16"/>
  <c r="M330" i="16"/>
  <c r="P330" i="16" s="1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N311" i="16"/>
  <c r="M311" i="16"/>
  <c r="P311" i="16" s="1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L291" i="16"/>
  <c r="O291" i="16" s="1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O272" i="16"/>
  <c r="N272" i="16"/>
  <c r="M272" i="16"/>
  <c r="P272" i="16" s="1"/>
  <c r="L272" i="16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N251" i="16"/>
  <c r="M251" i="16"/>
  <c r="P251" i="16" s="1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L146" i="16"/>
  <c r="L145" i="16"/>
  <c r="N144" i="16"/>
  <c r="M144" i="16"/>
  <c r="O143" i="16"/>
  <c r="P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P119" i="16"/>
  <c r="O119" i="16"/>
  <c r="N119" i="16"/>
  <c r="M119" i="16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O97" i="16"/>
  <c r="P95" i="16"/>
  <c r="N95" i="16"/>
  <c r="M95" i="16"/>
  <c r="L95" i="16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L72" i="16"/>
  <c r="L71" i="16"/>
  <c r="N70" i="16"/>
  <c r="M70" i="16"/>
  <c r="M68" i="16" s="1"/>
  <c r="O69" i="16"/>
  <c r="N67" i="16"/>
  <c r="M67" i="16"/>
  <c r="P67" i="16" s="1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N54" i="16"/>
  <c r="M54" i="16"/>
  <c r="P54" i="16" s="1"/>
  <c r="L54" i="16"/>
  <c r="N49" i="16"/>
  <c r="L49" i="16"/>
  <c r="O49" i="16" s="1"/>
  <c r="L47" i="16"/>
  <c r="L46" i="16"/>
  <c r="N45" i="16"/>
  <c r="M45" i="16"/>
  <c r="M43" i="16" s="1"/>
  <c r="N42" i="16"/>
  <c r="M42" i="16"/>
  <c r="L42" i="16"/>
  <c r="O42" i="16" s="1"/>
  <c r="P36" i="16"/>
  <c r="O36" i="16"/>
  <c r="P35" i="16"/>
  <c r="O35" i="16"/>
  <c r="M34" i="16"/>
  <c r="P34" i="16" s="1"/>
  <c r="M33" i="16"/>
  <c r="P33" i="16" s="1"/>
  <c r="P32" i="16"/>
  <c r="M32" i="16"/>
  <c r="P31" i="16"/>
  <c r="M31" i="16"/>
  <c r="P30" i="16"/>
  <c r="M30" i="16"/>
  <c r="M29" i="16"/>
  <c r="P29" i="16" s="1"/>
  <c r="M28" i="16"/>
  <c r="P28" i="16" s="1"/>
  <c r="P25" i="16"/>
  <c r="N25" i="16"/>
  <c r="M25" i="16"/>
  <c r="L25" i="16"/>
  <c r="O25" i="16" s="1"/>
  <c r="P24" i="16"/>
  <c r="N24" i="16"/>
  <c r="M24" i="16"/>
  <c r="P23" i="16"/>
  <c r="N23" i="16"/>
  <c r="M23" i="16"/>
  <c r="N21" i="16"/>
  <c r="M21" i="16"/>
  <c r="L21" i="16"/>
  <c r="O21" i="16" s="1"/>
  <c r="N15" i="16"/>
  <c r="M15" i="16"/>
  <c r="P15" i="16" s="1"/>
  <c r="M14" i="16"/>
  <c r="P14" i="16" s="1"/>
  <c r="M13" i="16"/>
  <c r="P13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5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N352" i="15"/>
  <c r="L352" i="15"/>
  <c r="N351" i="15"/>
  <c r="L351" i="15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N330" i="15"/>
  <c r="M330" i="15"/>
  <c r="P330" i="15" s="1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L296" i="15"/>
  <c r="L295" i="15"/>
  <c r="N294" i="15"/>
  <c r="M294" i="15"/>
  <c r="O293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N272" i="15"/>
  <c r="M272" i="15"/>
  <c r="P272" i="15" s="1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L226" i="15"/>
  <c r="L225" i="15"/>
  <c r="N224" i="15"/>
  <c r="M224" i="15"/>
  <c r="M222" i="15" s="1"/>
  <c r="O223" i="15"/>
  <c r="P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P141" i="15" s="1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P119" i="15"/>
  <c r="N119" i="15"/>
  <c r="M119" i="15"/>
  <c r="L119" i="15"/>
  <c r="O119" i="15" s="1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O95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N67" i="15"/>
  <c r="M67" i="15"/>
  <c r="P67" i="15" s="1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P54" i="15"/>
  <c r="O54" i="15"/>
  <c r="N54" i="15"/>
  <c r="M54" i="15"/>
  <c r="L54" i="15"/>
  <c r="N49" i="15"/>
  <c r="L49" i="15"/>
  <c r="O49" i="15" s="1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M34" i="15"/>
  <c r="P34" i="15" s="1"/>
  <c r="P33" i="15"/>
  <c r="M33" i="15"/>
  <c r="M32" i="15"/>
  <c r="P32" i="15" s="1"/>
  <c r="M31" i="15"/>
  <c r="P31" i="15" s="1"/>
  <c r="M30" i="15"/>
  <c r="P29" i="15"/>
  <c r="M29" i="15"/>
  <c r="O25" i="15"/>
  <c r="N25" i="15"/>
  <c r="M25" i="15"/>
  <c r="P25" i="15" s="1"/>
  <c r="L25" i="15"/>
  <c r="N24" i="15"/>
  <c r="M24" i="15"/>
  <c r="P24" i="15" s="1"/>
  <c r="N23" i="15"/>
  <c r="M23" i="15"/>
  <c r="P21" i="15"/>
  <c r="N21" i="15"/>
  <c r="M21" i="15"/>
  <c r="L21" i="15"/>
  <c r="O21" i="15" s="1"/>
  <c r="P19" i="15"/>
  <c r="N19" i="15"/>
  <c r="M19" i="15"/>
  <c r="N15" i="15"/>
  <c r="M15" i="15"/>
  <c r="P15" i="15" s="1"/>
  <c r="L15" i="15"/>
  <c r="O15" i="15" s="1"/>
  <c r="M14" i="15"/>
  <c r="P14" i="15" s="1"/>
  <c r="M11" i="15"/>
  <c r="P11" i="15" s="1"/>
  <c r="M9" i="15"/>
  <c r="P9" i="15" s="1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M331" i="14" s="1"/>
  <c r="O332" i="14"/>
  <c r="O330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O272" i="14" s="1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P251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M220" i="14" s="1"/>
  <c r="O223" i="14"/>
  <c r="P221" i="14"/>
  <c r="O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P141" i="14" s="1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L100" i="14"/>
  <c r="L99" i="14"/>
  <c r="N98" i="14"/>
  <c r="M98" i="14"/>
  <c r="O97" i="14"/>
  <c r="P95" i="14"/>
  <c r="N95" i="14"/>
  <c r="M95" i="14"/>
  <c r="L95" i="14"/>
  <c r="L95" i="1" s="1"/>
  <c r="O95" i="1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O67" i="14"/>
  <c r="N67" i="14"/>
  <c r="M67" i="14"/>
  <c r="P67" i="14" s="1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P54" i="14"/>
  <c r="N54" i="14"/>
  <c r="M54" i="14"/>
  <c r="L54" i="14"/>
  <c r="N49" i="14"/>
  <c r="L49" i="14"/>
  <c r="L47" i="14"/>
  <c r="L46" i="14"/>
  <c r="N45" i="14"/>
  <c r="M45" i="14"/>
  <c r="O42" i="14"/>
  <c r="N42" i="14"/>
  <c r="M42" i="14"/>
  <c r="P42" i="14" s="1"/>
  <c r="L42" i="14"/>
  <c r="P36" i="14"/>
  <c r="O36" i="14"/>
  <c r="P35" i="14"/>
  <c r="O35" i="14"/>
  <c r="P34" i="14"/>
  <c r="M34" i="14"/>
  <c r="M33" i="14"/>
  <c r="P33" i="14" s="1"/>
  <c r="M32" i="14"/>
  <c r="P32" i="14" s="1"/>
  <c r="M31" i="14"/>
  <c r="N25" i="14"/>
  <c r="N15" i="14" s="1"/>
  <c r="M25" i="14"/>
  <c r="P25" i="14" s="1"/>
  <c r="L25" i="14"/>
  <c r="O25" i="14" s="1"/>
  <c r="N24" i="14"/>
  <c r="M24" i="14"/>
  <c r="P23" i="14"/>
  <c r="N23" i="14"/>
  <c r="M23" i="14"/>
  <c r="P21" i="14"/>
  <c r="N21" i="14"/>
  <c r="M21" i="14"/>
  <c r="L21" i="14"/>
  <c r="O21" i="14" s="1"/>
  <c r="N19" i="14"/>
  <c r="M19" i="14"/>
  <c r="P19" i="14" s="1"/>
  <c r="L19" i="14"/>
  <c r="O15" i="14"/>
  <c r="M15" i="14"/>
  <c r="P15" i="14" s="1"/>
  <c r="L15" i="14"/>
  <c r="M13" i="14"/>
  <c r="P13" i="14" s="1"/>
  <c r="M11" i="14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6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N566" i="13"/>
  <c r="L566" i="13"/>
  <c r="N565" i="13"/>
  <c r="L565" i="13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O384" i="13" s="1"/>
  <c r="N383" i="13"/>
  <c r="L383" i="13"/>
  <c r="N382" i="13"/>
  <c r="L382" i="13"/>
  <c r="O382" i="13" s="1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K369" i="13" s="1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M337" i="13" s="1"/>
  <c r="M26" i="13" s="1"/>
  <c r="L335" i="13"/>
  <c r="L334" i="13"/>
  <c r="N333" i="13"/>
  <c r="M333" i="13"/>
  <c r="O332" i="13"/>
  <c r="O330" i="13"/>
  <c r="N330" i="13"/>
  <c r="M330" i="13"/>
  <c r="P330" i="13" s="1"/>
  <c r="L330" i="13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M312" i="13" s="1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P275" i="13" s="1"/>
  <c r="O274" i="13"/>
  <c r="N272" i="13"/>
  <c r="M272" i="13"/>
  <c r="L272" i="13"/>
  <c r="O272" i="13" s="1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N251" i="13"/>
  <c r="M251" i="13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M140" i="13" s="1"/>
  <c r="O143" i="13"/>
  <c r="P141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O119" i="13"/>
  <c r="N119" i="13"/>
  <c r="M119" i="13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L100" i="13"/>
  <c r="L99" i="13"/>
  <c r="N98" i="13"/>
  <c r="M98" i="13"/>
  <c r="P98" i="13" s="1"/>
  <c r="O97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N67" i="13"/>
  <c r="M67" i="13"/>
  <c r="L67" i="13"/>
  <c r="O67" i="13" s="1"/>
  <c r="J65" i="13"/>
  <c r="I65" i="13"/>
  <c r="J64" i="13"/>
  <c r="I64" i="13"/>
  <c r="N61" i="13"/>
  <c r="L61" i="13"/>
  <c r="O61" i="13" s="1"/>
  <c r="L59" i="13"/>
  <c r="L58" i="13"/>
  <c r="N57" i="13"/>
  <c r="M57" i="13"/>
  <c r="N54" i="13"/>
  <c r="M54" i="13"/>
  <c r="P54" i="13" s="1"/>
  <c r="L54" i="13"/>
  <c r="N49" i="13"/>
  <c r="L49" i="13"/>
  <c r="O49" i="13" s="1"/>
  <c r="L47" i="13"/>
  <c r="L46" i="13"/>
  <c r="N45" i="13"/>
  <c r="M45" i="13"/>
  <c r="M43" i="13" s="1"/>
  <c r="O42" i="13"/>
  <c r="N42" i="13"/>
  <c r="M42" i="13"/>
  <c r="L42" i="13"/>
  <c r="P36" i="13"/>
  <c r="O36" i="13"/>
  <c r="P35" i="13"/>
  <c r="O35" i="13"/>
  <c r="P34" i="13"/>
  <c r="M34" i="13"/>
  <c r="M33" i="13"/>
  <c r="P33" i="13" s="1"/>
  <c r="M32" i="13"/>
  <c r="P32" i="13" s="1"/>
  <c r="M31" i="13"/>
  <c r="P30" i="13"/>
  <c r="M30" i="13"/>
  <c r="N25" i="13"/>
  <c r="N15" i="13" s="1"/>
  <c r="M25" i="13"/>
  <c r="P25" i="13" s="1"/>
  <c r="L25" i="13"/>
  <c r="N24" i="13"/>
  <c r="M24" i="13"/>
  <c r="P23" i="13"/>
  <c r="N23" i="13"/>
  <c r="M23" i="13"/>
  <c r="P21" i="13"/>
  <c r="O21" i="13"/>
  <c r="N21" i="13"/>
  <c r="M21" i="13"/>
  <c r="M19" i="13" s="1"/>
  <c r="P19" i="13" s="1"/>
  <c r="L21" i="13"/>
  <c r="N19" i="13"/>
  <c r="M13" i="13"/>
  <c r="P13" i="13" s="1"/>
  <c r="M11" i="13"/>
  <c r="J677" i="12"/>
  <c r="J676" i="12"/>
  <c r="J675" i="12"/>
  <c r="J674" i="12"/>
  <c r="J673" i="12"/>
  <c r="J672" i="12"/>
  <c r="N671" i="12"/>
  <c r="L671" i="12"/>
  <c r="I671" i="12"/>
  <c r="J670" i="12"/>
  <c r="J669" i="12"/>
  <c r="N668" i="12"/>
  <c r="L668" i="12"/>
  <c r="J668" i="12"/>
  <c r="I668" i="12"/>
  <c r="J667" i="12"/>
  <c r="J666" i="12"/>
  <c r="N665" i="12"/>
  <c r="L665" i="12"/>
  <c r="J665" i="12"/>
  <c r="I665" i="12"/>
  <c r="J663" i="12"/>
  <c r="I663" i="12"/>
  <c r="J662" i="12"/>
  <c r="N661" i="12"/>
  <c r="L661" i="12"/>
  <c r="J661" i="12"/>
  <c r="J660" i="12"/>
  <c r="J659" i="12"/>
  <c r="J658" i="12"/>
  <c r="J657" i="12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N457" i="12"/>
  <c r="L457" i="12"/>
  <c r="N456" i="12"/>
  <c r="L456" i="12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L277" i="12"/>
  <c r="L276" i="12"/>
  <c r="N275" i="12"/>
  <c r="M275" i="12"/>
  <c r="O274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O253" i="12"/>
  <c r="O251" i="12"/>
  <c r="N251" i="12"/>
  <c r="M251" i="12"/>
  <c r="P251" i="12" s="1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M220" i="12" s="1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O141" i="12"/>
  <c r="N141" i="12"/>
  <c r="M141" i="12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P95" i="12"/>
  <c r="O95" i="12"/>
  <c r="N95" i="12"/>
  <c r="M95" i="12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O54" i="12"/>
  <c r="N54" i="12"/>
  <c r="M54" i="12"/>
  <c r="L54" i="12"/>
  <c r="N49" i="12"/>
  <c r="L49" i="12"/>
  <c r="L47" i="12"/>
  <c r="L46" i="12"/>
  <c r="N45" i="12"/>
  <c r="M45" i="12"/>
  <c r="M43" i="12" s="1"/>
  <c r="M41" i="12" s="1"/>
  <c r="P42" i="12"/>
  <c r="O42" i="12"/>
  <c r="N42" i="12"/>
  <c r="M42" i="12"/>
  <c r="L42" i="12"/>
  <c r="P36" i="12"/>
  <c r="O36" i="12"/>
  <c r="P35" i="12"/>
  <c r="O35" i="12"/>
  <c r="M34" i="12"/>
  <c r="P34" i="12" s="1"/>
  <c r="P33" i="12"/>
  <c r="M33" i="12"/>
  <c r="P32" i="12"/>
  <c r="M32" i="12"/>
  <c r="M30" i="12" s="1"/>
  <c r="P30" i="12" s="1"/>
  <c r="M31" i="12"/>
  <c r="P31" i="12" s="1"/>
  <c r="P29" i="12"/>
  <c r="M29" i="12"/>
  <c r="M28" i="12" s="1"/>
  <c r="P28" i="12" s="1"/>
  <c r="O25" i="12"/>
  <c r="N25" i="12"/>
  <c r="M25" i="12"/>
  <c r="P25" i="12" s="1"/>
  <c r="L25" i="12"/>
  <c r="N24" i="12"/>
  <c r="M24" i="12"/>
  <c r="P24" i="12" s="1"/>
  <c r="N23" i="12"/>
  <c r="M23" i="12"/>
  <c r="P23" i="12" s="1"/>
  <c r="P21" i="12"/>
  <c r="O21" i="12"/>
  <c r="N21" i="12"/>
  <c r="M21" i="12"/>
  <c r="L21" i="12"/>
  <c r="L19" i="12" s="1"/>
  <c r="O19" i="12" s="1"/>
  <c r="P19" i="12"/>
  <c r="N19" i="12"/>
  <c r="M19" i="12"/>
  <c r="P15" i="12"/>
  <c r="N15" i="12"/>
  <c r="M15" i="12"/>
  <c r="M9" i="12" s="1"/>
  <c r="L15" i="12"/>
  <c r="O15" i="12" s="1"/>
  <c r="P14" i="12"/>
  <c r="M14" i="12"/>
  <c r="M11" i="12"/>
  <c r="P11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P314" i="11" s="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L256" i="11"/>
  <c r="L255" i="11"/>
  <c r="N254" i="11"/>
  <c r="M254" i="11"/>
  <c r="P254" i="11" s="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P119" i="11"/>
  <c r="O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O95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P67" i="11"/>
  <c r="N67" i="11"/>
  <c r="M67" i="1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N54" i="11"/>
  <c r="M54" i="11"/>
  <c r="P54" i="11" s="1"/>
  <c r="L54" i="11"/>
  <c r="O54" i="11" s="1"/>
  <c r="N49" i="11"/>
  <c r="L49" i="11"/>
  <c r="O49" i="11" s="1"/>
  <c r="L47" i="11"/>
  <c r="L46" i="11"/>
  <c r="N45" i="11"/>
  <c r="M45" i="11"/>
  <c r="M43" i="11" s="1"/>
  <c r="P42" i="11"/>
  <c r="O42" i="11"/>
  <c r="N42" i="11"/>
  <c r="M42" i="11"/>
  <c r="L42" i="11"/>
  <c r="P36" i="11"/>
  <c r="O36" i="11"/>
  <c r="P35" i="11"/>
  <c r="O35" i="11"/>
  <c r="P34" i="11"/>
  <c r="M34" i="11"/>
  <c r="M33" i="11"/>
  <c r="P33" i="11" s="1"/>
  <c r="M32" i="11"/>
  <c r="P32" i="11" s="1"/>
  <c r="M31" i="11"/>
  <c r="N25" i="11"/>
  <c r="M25" i="11"/>
  <c r="P25" i="11" s="1"/>
  <c r="L25" i="11"/>
  <c r="O25" i="11" s="1"/>
  <c r="P24" i="11"/>
  <c r="N24" i="11"/>
  <c r="M24" i="11"/>
  <c r="N23" i="11"/>
  <c r="M23" i="11"/>
  <c r="P23" i="11" s="1"/>
  <c r="O21" i="11"/>
  <c r="N21" i="11"/>
  <c r="M21" i="11"/>
  <c r="M19" i="11" s="1"/>
  <c r="P19" i="11" s="1"/>
  <c r="L21" i="11"/>
  <c r="N19" i="11"/>
  <c r="L19" i="11"/>
  <c r="O19" i="11" s="1"/>
  <c r="O15" i="11"/>
  <c r="N15" i="11"/>
  <c r="L15" i="11"/>
  <c r="M14" i="11"/>
  <c r="P14" i="11" s="1"/>
  <c r="M13" i="11"/>
  <c r="P13" i="11" s="1"/>
  <c r="M11" i="1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I668" i="10"/>
  <c r="J667" i="10"/>
  <c r="J666" i="10"/>
  <c r="N665" i="10"/>
  <c r="L665" i="10"/>
  <c r="J665" i="10"/>
  <c r="I665" i="10"/>
  <c r="J663" i="10"/>
  <c r="I663" i="10"/>
  <c r="J662" i="10"/>
  <c r="N661" i="10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O332" i="10"/>
  <c r="P330" i="10"/>
  <c r="N330" i="10"/>
  <c r="M330" i="10"/>
  <c r="L330" i="10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P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L277" i="10"/>
  <c r="L276" i="10"/>
  <c r="N275" i="10"/>
  <c r="M275" i="10"/>
  <c r="O274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O221" i="10"/>
  <c r="N221" i="10"/>
  <c r="M221" i="10"/>
  <c r="L221" i="10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O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M120" i="10" s="1"/>
  <c r="O121" i="10"/>
  <c r="O119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L72" i="10"/>
  <c r="L71" i="10"/>
  <c r="N70" i="10"/>
  <c r="M70" i="10"/>
  <c r="M68" i="10" s="1"/>
  <c r="O69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P54" i="10"/>
  <c r="N54" i="10"/>
  <c r="M54" i="10"/>
  <c r="L54" i="10"/>
  <c r="O54" i="10" s="1"/>
  <c r="N49" i="10"/>
  <c r="L49" i="10"/>
  <c r="M49" i="10" s="1"/>
  <c r="M26" i="10" s="1"/>
  <c r="L47" i="10"/>
  <c r="L46" i="10"/>
  <c r="N45" i="10"/>
  <c r="M45" i="10"/>
  <c r="O42" i="10"/>
  <c r="N42" i="10"/>
  <c r="M42" i="10"/>
  <c r="L42" i="10"/>
  <c r="P36" i="10"/>
  <c r="O36" i="10"/>
  <c r="P35" i="10"/>
  <c r="O35" i="10"/>
  <c r="P34" i="10"/>
  <c r="M34" i="10"/>
  <c r="M33" i="10"/>
  <c r="P33" i="10" s="1"/>
  <c r="P32" i="10"/>
  <c r="M32" i="10"/>
  <c r="M31" i="10"/>
  <c r="P31" i="10" s="1"/>
  <c r="P30" i="10"/>
  <c r="M30" i="10"/>
  <c r="P25" i="10"/>
  <c r="N25" i="10"/>
  <c r="N15" i="10" s="1"/>
  <c r="M25" i="10"/>
  <c r="L25" i="10"/>
  <c r="O25" i="10" s="1"/>
  <c r="N24" i="10"/>
  <c r="M24" i="10"/>
  <c r="P24" i="10" s="1"/>
  <c r="N23" i="10"/>
  <c r="M23" i="10"/>
  <c r="P23" i="10" s="1"/>
  <c r="P21" i="10"/>
  <c r="N21" i="10"/>
  <c r="N19" i="10" s="1"/>
  <c r="M21" i="10"/>
  <c r="L21" i="10"/>
  <c r="O21" i="10" s="1"/>
  <c r="P19" i="10"/>
  <c r="M19" i="10"/>
  <c r="M15" i="10"/>
  <c r="P15" i="10" s="1"/>
  <c r="L15" i="10"/>
  <c r="O15" i="10" s="1"/>
  <c r="M13" i="10"/>
  <c r="P13" i="10" s="1"/>
  <c r="M11" i="10"/>
  <c r="P11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N437" i="9"/>
  <c r="L437" i="9"/>
  <c r="N436" i="9"/>
  <c r="L436" i="9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O384" i="9" s="1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L335" i="9"/>
  <c r="L334" i="9"/>
  <c r="N333" i="9"/>
  <c r="M333" i="9"/>
  <c r="O332" i="9"/>
  <c r="P330" i="9"/>
  <c r="O330" i="9"/>
  <c r="N330" i="9"/>
  <c r="M330" i="9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P311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L277" i="9"/>
  <c r="L276" i="9"/>
  <c r="N275" i="9"/>
  <c r="M275" i="9"/>
  <c r="O274" i="9"/>
  <c r="O272" i="9"/>
  <c r="N272" i="9"/>
  <c r="M272" i="9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N141" i="9"/>
  <c r="M141" i="9"/>
  <c r="L141" i="9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P122" i="9" s="1"/>
  <c r="O121" i="9"/>
  <c r="O119" i="9"/>
  <c r="N119" i="9"/>
  <c r="M119" i="9"/>
  <c r="P119" i="9" s="1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P95" i="9"/>
  <c r="N95" i="9"/>
  <c r="M95" i="9"/>
  <c r="L95" i="9"/>
  <c r="O95" i="9" s="1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L72" i="9"/>
  <c r="L71" i="9"/>
  <c r="N70" i="9"/>
  <c r="M70" i="9"/>
  <c r="M68" i="9" s="1"/>
  <c r="O69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P54" i="9"/>
  <c r="N54" i="9"/>
  <c r="M54" i="9"/>
  <c r="L54" i="9"/>
  <c r="O54" i="9" s="1"/>
  <c r="N49" i="9"/>
  <c r="L49" i="9"/>
  <c r="L47" i="9"/>
  <c r="L46" i="9"/>
  <c r="N45" i="9"/>
  <c r="M45" i="9"/>
  <c r="O42" i="9"/>
  <c r="N42" i="9"/>
  <c r="M42" i="9"/>
  <c r="P42" i="9" s="1"/>
  <c r="L42" i="9"/>
  <c r="P36" i="9"/>
  <c r="O36" i="9"/>
  <c r="P35" i="9"/>
  <c r="O35" i="9"/>
  <c r="P34" i="9"/>
  <c r="M34" i="9"/>
  <c r="M33" i="9"/>
  <c r="P33" i="9" s="1"/>
  <c r="M32" i="9"/>
  <c r="M31" i="9"/>
  <c r="P31" i="9" s="1"/>
  <c r="M29" i="9"/>
  <c r="N25" i="9"/>
  <c r="N15" i="9" s="1"/>
  <c r="M25" i="9"/>
  <c r="P25" i="9" s="1"/>
  <c r="L25" i="9"/>
  <c r="O25" i="9" s="1"/>
  <c r="N24" i="9"/>
  <c r="M24" i="9"/>
  <c r="P24" i="9" s="1"/>
  <c r="P23" i="9"/>
  <c r="N23" i="9"/>
  <c r="M23" i="9"/>
  <c r="P21" i="9"/>
  <c r="O21" i="9"/>
  <c r="N21" i="9"/>
  <c r="M21" i="9"/>
  <c r="L21" i="9"/>
  <c r="L19" i="9" s="1"/>
  <c r="O19" i="9" s="1"/>
  <c r="P19" i="9"/>
  <c r="M19" i="9"/>
  <c r="M15" i="9"/>
  <c r="P15" i="9" s="1"/>
  <c r="M13" i="9"/>
  <c r="P13" i="9" s="1"/>
  <c r="M11" i="9"/>
  <c r="P11" i="9" s="1"/>
  <c r="M9" i="9"/>
  <c r="J677" i="8"/>
  <c r="J676" i="8"/>
  <c r="J675" i="8"/>
  <c r="J674" i="8"/>
  <c r="J673" i="8"/>
  <c r="J672" i="8"/>
  <c r="N671" i="8"/>
  <c r="L671" i="8"/>
  <c r="I671" i="8"/>
  <c r="J670" i="8"/>
  <c r="J669" i="8"/>
  <c r="N668" i="8"/>
  <c r="L668" i="8"/>
  <c r="J668" i="8"/>
  <c r="I668" i="8"/>
  <c r="J667" i="8"/>
  <c r="J666" i="8"/>
  <c r="N665" i="8"/>
  <c r="L665" i="8"/>
  <c r="J665" i="8"/>
  <c r="I665" i="8"/>
  <c r="J663" i="8"/>
  <c r="I663" i="8"/>
  <c r="J662" i="8"/>
  <c r="N661" i="8"/>
  <c r="L661" i="8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O253" i="8"/>
  <c r="P251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M222" i="8" s="1"/>
  <c r="O223" i="8"/>
  <c r="O221" i="8"/>
  <c r="N221" i="8"/>
  <c r="M221" i="8"/>
  <c r="P221" i="8" s="1"/>
  <c r="L221" i="8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L124" i="8"/>
  <c r="L123" i="8"/>
  <c r="N122" i="8"/>
  <c r="M122" i="8"/>
  <c r="O121" i="8"/>
  <c r="O119" i="8"/>
  <c r="N119" i="8"/>
  <c r="M119" i="8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P67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L59" i="8"/>
  <c r="L58" i="8"/>
  <c r="N57" i="8"/>
  <c r="M57" i="8"/>
  <c r="P54" i="8"/>
  <c r="N54" i="8"/>
  <c r="M54" i="8"/>
  <c r="L54" i="8"/>
  <c r="O54" i="8" s="1"/>
  <c r="N49" i="8"/>
  <c r="L49" i="8"/>
  <c r="O49" i="8" s="1"/>
  <c r="L47" i="8"/>
  <c r="L46" i="8"/>
  <c r="N45" i="8"/>
  <c r="M45" i="8"/>
  <c r="M43" i="8" s="1"/>
  <c r="O42" i="8"/>
  <c r="N42" i="8"/>
  <c r="M42" i="8"/>
  <c r="L42" i="8"/>
  <c r="P36" i="8"/>
  <c r="O36" i="8"/>
  <c r="P35" i="8"/>
  <c r="O35" i="8"/>
  <c r="P34" i="8"/>
  <c r="M34" i="8"/>
  <c r="M33" i="8"/>
  <c r="P33" i="8" s="1"/>
  <c r="P32" i="8"/>
  <c r="M32" i="8"/>
  <c r="M30" i="8" s="1"/>
  <c r="P30" i="8" s="1"/>
  <c r="P31" i="8"/>
  <c r="M31" i="8"/>
  <c r="M29" i="8" s="1"/>
  <c r="P29" i="8" s="1"/>
  <c r="M28" i="8"/>
  <c r="P28" i="8" s="1"/>
  <c r="N25" i="8"/>
  <c r="M25" i="8"/>
  <c r="P25" i="8" s="1"/>
  <c r="L25" i="8"/>
  <c r="O25" i="8" s="1"/>
  <c r="P24" i="8"/>
  <c r="N24" i="8"/>
  <c r="M24" i="8"/>
  <c r="N23" i="8"/>
  <c r="M23" i="8"/>
  <c r="P23" i="8" s="1"/>
  <c r="N21" i="8"/>
  <c r="M21" i="8"/>
  <c r="L21" i="8"/>
  <c r="O21" i="8" s="1"/>
  <c r="M15" i="8"/>
  <c r="P15" i="8" s="1"/>
  <c r="L15" i="8"/>
  <c r="O15" i="8" s="1"/>
  <c r="M14" i="8"/>
  <c r="P14" i="8" s="1"/>
  <c r="M13" i="8"/>
  <c r="P13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O311" i="7"/>
  <c r="N311" i="7"/>
  <c r="M311" i="7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L296" i="7"/>
  <c r="L295" i="7"/>
  <c r="N294" i="7"/>
  <c r="M294" i="7"/>
  <c r="P294" i="7" s="1"/>
  <c r="O293" i="7"/>
  <c r="O291" i="7"/>
  <c r="N291" i="7"/>
  <c r="M291" i="7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M222" i="7" s="1"/>
  <c r="O223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P95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L59" i="7"/>
  <c r="L58" i="7"/>
  <c r="N57" i="7"/>
  <c r="M57" i="7"/>
  <c r="M55" i="7" s="1"/>
  <c r="P54" i="7"/>
  <c r="O54" i="7"/>
  <c r="N54" i="7"/>
  <c r="M54" i="7"/>
  <c r="L54" i="7"/>
  <c r="N49" i="7"/>
  <c r="L49" i="7"/>
  <c r="M49" i="7" s="1"/>
  <c r="L47" i="7"/>
  <c r="L46" i="7"/>
  <c r="N45" i="7"/>
  <c r="M45" i="7"/>
  <c r="N42" i="7"/>
  <c r="M42" i="7"/>
  <c r="P42" i="7" s="1"/>
  <c r="L42" i="7"/>
  <c r="P36" i="7"/>
  <c r="O36" i="7"/>
  <c r="P35" i="7"/>
  <c r="O35" i="7"/>
  <c r="P34" i="7"/>
  <c r="M34" i="7"/>
  <c r="M33" i="7"/>
  <c r="P33" i="7" s="1"/>
  <c r="M32" i="7"/>
  <c r="P31" i="7"/>
  <c r="M31" i="7"/>
  <c r="M29" i="7" s="1"/>
  <c r="P29" i="7"/>
  <c r="N25" i="7"/>
  <c r="M25" i="7"/>
  <c r="L25" i="7"/>
  <c r="P24" i="7"/>
  <c r="N24" i="7"/>
  <c r="M24" i="7"/>
  <c r="P23" i="7"/>
  <c r="N23" i="7"/>
  <c r="M23" i="7"/>
  <c r="P21" i="7"/>
  <c r="O21" i="7"/>
  <c r="N21" i="7"/>
  <c r="N19" i="7" s="1"/>
  <c r="M21" i="7"/>
  <c r="L21" i="7"/>
  <c r="L19" i="7"/>
  <c r="O19" i="7" s="1"/>
  <c r="N15" i="7"/>
  <c r="M14" i="7"/>
  <c r="P14" i="7" s="1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O648" i="6" s="1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P311" i="6"/>
  <c r="N311" i="6"/>
  <c r="M311" i="6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N251" i="6"/>
  <c r="M251" i="6"/>
  <c r="P251" i="6" s="1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O67" i="6"/>
  <c r="N67" i="6"/>
  <c r="M67" i="6"/>
  <c r="L67" i="6"/>
  <c r="J65" i="6"/>
  <c r="I65" i="6"/>
  <c r="J64" i="6"/>
  <c r="I64" i="6"/>
  <c r="N61" i="6"/>
  <c r="L61" i="6"/>
  <c r="L59" i="6"/>
  <c r="L58" i="6"/>
  <c r="N57" i="6"/>
  <c r="M57" i="6"/>
  <c r="P54" i="6"/>
  <c r="N54" i="6"/>
  <c r="M54" i="6"/>
  <c r="L54" i="6"/>
  <c r="N49" i="6"/>
  <c r="L49" i="6"/>
  <c r="O49" i="6" s="1"/>
  <c r="L47" i="6"/>
  <c r="L46" i="6"/>
  <c r="N45" i="6"/>
  <c r="M45" i="6"/>
  <c r="N42" i="6"/>
  <c r="M42" i="6"/>
  <c r="L42" i="6"/>
  <c r="O42" i="6" s="1"/>
  <c r="P36" i="6"/>
  <c r="O36" i="6"/>
  <c r="P35" i="6"/>
  <c r="O35" i="6"/>
  <c r="P34" i="6"/>
  <c r="M34" i="6"/>
  <c r="M33" i="6"/>
  <c r="P33" i="6" s="1"/>
  <c r="P32" i="6"/>
  <c r="M32" i="6"/>
  <c r="P31" i="6"/>
  <c r="M31" i="6"/>
  <c r="P30" i="6"/>
  <c r="M30" i="6"/>
  <c r="M29" i="6"/>
  <c r="P29" i="6" s="1"/>
  <c r="M28" i="6"/>
  <c r="P28" i="6" s="1"/>
  <c r="P25" i="6"/>
  <c r="O25" i="6"/>
  <c r="N25" i="6"/>
  <c r="N15" i="6" s="1"/>
  <c r="M25" i="6"/>
  <c r="L25" i="6"/>
  <c r="N24" i="6"/>
  <c r="M24" i="6"/>
  <c r="P23" i="6"/>
  <c r="N23" i="6"/>
  <c r="M23" i="6"/>
  <c r="P21" i="6"/>
  <c r="N21" i="6"/>
  <c r="N19" i="6" s="1"/>
  <c r="M21" i="6"/>
  <c r="L21" i="6"/>
  <c r="O15" i="6"/>
  <c r="M15" i="6"/>
  <c r="P15" i="6" s="1"/>
  <c r="L15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P330" i="5"/>
  <c r="N330" i="5"/>
  <c r="M330" i="5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M310" i="5" s="1"/>
  <c r="O313" i="5"/>
  <c r="P311" i="5"/>
  <c r="N311" i="5"/>
  <c r="M311" i="5"/>
  <c r="L311" i="5"/>
  <c r="O311" i="5" s="1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O293" i="5"/>
  <c r="P291" i="5"/>
  <c r="N291" i="5"/>
  <c r="M291" i="5"/>
  <c r="L291" i="5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M271" i="5" s="1"/>
  <c r="O274" i="5"/>
  <c r="O272" i="5"/>
  <c r="N272" i="5"/>
  <c r="M272" i="5"/>
  <c r="P272" i="5" s="1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M222" i="5" s="1"/>
  <c r="P222" i="5" s="1"/>
  <c r="O223" i="5"/>
  <c r="P221" i="5"/>
  <c r="N221" i="5"/>
  <c r="M221" i="5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P141" i="5"/>
  <c r="N141" i="5"/>
  <c r="M141" i="5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P119" i="5"/>
  <c r="O119" i="5"/>
  <c r="N119" i="5"/>
  <c r="M119" i="5"/>
  <c r="L119" i="5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P95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O67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M53" i="5" s="1"/>
  <c r="P54" i="5"/>
  <c r="N54" i="5"/>
  <c r="M54" i="5"/>
  <c r="L54" i="5"/>
  <c r="N49" i="5"/>
  <c r="L49" i="5"/>
  <c r="L47" i="5"/>
  <c r="L46" i="5"/>
  <c r="N45" i="5"/>
  <c r="M45" i="5"/>
  <c r="N42" i="5"/>
  <c r="M42" i="5"/>
  <c r="P42" i="5" s="1"/>
  <c r="L42" i="5"/>
  <c r="O42" i="5" s="1"/>
  <c r="P36" i="5"/>
  <c r="O36" i="5"/>
  <c r="P35" i="5"/>
  <c r="O35" i="5"/>
  <c r="M34" i="5"/>
  <c r="P34" i="5" s="1"/>
  <c r="M33" i="5"/>
  <c r="P33" i="5" s="1"/>
  <c r="P32" i="5"/>
  <c r="M32" i="5"/>
  <c r="M30" i="5" s="1"/>
  <c r="M31" i="5"/>
  <c r="P30" i="5"/>
  <c r="P29" i="5"/>
  <c r="M29" i="5"/>
  <c r="M28" i="5" s="1"/>
  <c r="P28" i="5" s="1"/>
  <c r="N25" i="5"/>
  <c r="M25" i="5"/>
  <c r="L25" i="5"/>
  <c r="O25" i="5" s="1"/>
  <c r="N24" i="5"/>
  <c r="M24" i="5"/>
  <c r="P24" i="5" s="1"/>
  <c r="P23" i="5"/>
  <c r="N23" i="5"/>
  <c r="M23" i="5"/>
  <c r="O21" i="5"/>
  <c r="N21" i="5"/>
  <c r="M21" i="5"/>
  <c r="P21" i="5" s="1"/>
  <c r="L21" i="5"/>
  <c r="N19" i="5"/>
  <c r="L19" i="5"/>
  <c r="O15" i="5"/>
  <c r="N15" i="5"/>
  <c r="L15" i="5"/>
  <c r="M14" i="5"/>
  <c r="P14" i="5" s="1"/>
  <c r="M13" i="5"/>
  <c r="P13" i="5" s="1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J667" i="4"/>
  <c r="J666" i="4"/>
  <c r="N665" i="4"/>
  <c r="L665" i="4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J650" i="4"/>
  <c r="I650" i="4"/>
  <c r="N649" i="4"/>
  <c r="L649" i="4"/>
  <c r="J649" i="4"/>
  <c r="I649" i="4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P330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N291" i="4"/>
  <c r="M291" i="4"/>
  <c r="P291" i="4" s="1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M273" i="4" s="1"/>
  <c r="O274" i="4"/>
  <c r="O272" i="4"/>
  <c r="N272" i="4"/>
  <c r="M272" i="4"/>
  <c r="P272" i="4" s="1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M220" i="4" s="1"/>
  <c r="O223" i="4"/>
  <c r="N221" i="4"/>
  <c r="M221" i="4"/>
  <c r="P221" i="4" s="1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P119" i="4"/>
  <c r="N119" i="4"/>
  <c r="M119" i="4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L59" i="4"/>
  <c r="L58" i="4"/>
  <c r="N57" i="4"/>
  <c r="M57" i="4"/>
  <c r="P54" i="4"/>
  <c r="O54" i="4"/>
  <c r="N54" i="4"/>
  <c r="M54" i="4"/>
  <c r="L54" i="4"/>
  <c r="N49" i="4"/>
  <c r="L49" i="4"/>
  <c r="M49" i="4" s="1"/>
  <c r="L47" i="4"/>
  <c r="L46" i="4"/>
  <c r="N45" i="4"/>
  <c r="M45" i="4"/>
  <c r="P42" i="4"/>
  <c r="N42" i="4"/>
  <c r="M42" i="4"/>
  <c r="L42" i="4"/>
  <c r="O42" i="4" s="1"/>
  <c r="P36" i="4"/>
  <c r="O36" i="4"/>
  <c r="P35" i="4"/>
  <c r="O35" i="4"/>
  <c r="M34" i="4"/>
  <c r="P34" i="4" s="1"/>
  <c r="M33" i="4"/>
  <c r="M13" i="4" s="1"/>
  <c r="P13" i="4" s="1"/>
  <c r="M32" i="4"/>
  <c r="P32" i="4" s="1"/>
  <c r="M31" i="4"/>
  <c r="P31" i="4" s="1"/>
  <c r="P30" i="4"/>
  <c r="M30" i="4"/>
  <c r="N25" i="4"/>
  <c r="M25" i="4"/>
  <c r="L25" i="4"/>
  <c r="O25" i="4" s="1"/>
  <c r="N24" i="4"/>
  <c r="M24" i="4"/>
  <c r="P24" i="4" s="1"/>
  <c r="P23" i="4"/>
  <c r="N23" i="4"/>
  <c r="M23" i="4"/>
  <c r="P21" i="4"/>
  <c r="O21" i="4"/>
  <c r="N21" i="4"/>
  <c r="N19" i="4" s="1"/>
  <c r="M21" i="4"/>
  <c r="L21" i="4"/>
  <c r="L19" i="4"/>
  <c r="O19" i="4" s="1"/>
  <c r="N15" i="4"/>
  <c r="L15" i="4"/>
  <c r="O15" i="4" s="1"/>
  <c r="P14" i="4"/>
  <c r="M14" i="4"/>
  <c r="M11" i="4"/>
  <c r="P11" i="4" s="1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O353" i="3" s="1"/>
  <c r="N352" i="3"/>
  <c r="L352" i="3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L316" i="3"/>
  <c r="L315" i="3"/>
  <c r="N314" i="3"/>
  <c r="M314" i="3"/>
  <c r="P314" i="3" s="1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N291" i="3"/>
  <c r="M291" i="3"/>
  <c r="P291" i="3" s="1"/>
  <c r="L291" i="3"/>
  <c r="O291" i="3" s="1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M271" i="3" s="1"/>
  <c r="O274" i="3"/>
  <c r="O272" i="3"/>
  <c r="N272" i="3"/>
  <c r="N272" i="1" s="1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L256" i="3"/>
  <c r="L255" i="3"/>
  <c r="N254" i="3"/>
  <c r="M254" i="3"/>
  <c r="M252" i="3" s="1"/>
  <c r="O253" i="3"/>
  <c r="N251" i="3"/>
  <c r="M251" i="3"/>
  <c r="P251" i="3" s="1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N221" i="3"/>
  <c r="M221" i="3"/>
  <c r="P221" i="3" s="1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L141" i="1" s="1"/>
  <c r="O141" i="1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O119" i="3"/>
  <c r="N119" i="3"/>
  <c r="M119" i="3"/>
  <c r="P119" i="3" s="1"/>
  <c r="L119" i="3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P98" i="3" s="1"/>
  <c r="O97" i="3"/>
  <c r="N95" i="3"/>
  <c r="M95" i="3"/>
  <c r="P95" i="3" s="1"/>
  <c r="L95" i="3"/>
  <c r="O95" i="3" s="1"/>
  <c r="J93" i="3"/>
  <c r="I93" i="3"/>
  <c r="K93" i="3" s="1"/>
  <c r="J92" i="3"/>
  <c r="I92" i="3"/>
  <c r="K92" i="3" s="1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N54" i="3"/>
  <c r="M54" i="3"/>
  <c r="L54" i="3"/>
  <c r="N49" i="3"/>
  <c r="L49" i="3"/>
  <c r="L47" i="3"/>
  <c r="L46" i="3"/>
  <c r="N45" i="3"/>
  <c r="M45" i="3"/>
  <c r="P42" i="3"/>
  <c r="O42" i="3"/>
  <c r="N42" i="3"/>
  <c r="M42" i="3"/>
  <c r="L42" i="3"/>
  <c r="P36" i="3"/>
  <c r="O36" i="3"/>
  <c r="P35" i="3"/>
  <c r="O35" i="3"/>
  <c r="P34" i="3"/>
  <c r="M34" i="3"/>
  <c r="P33" i="3"/>
  <c r="M33" i="3"/>
  <c r="P32" i="3"/>
  <c r="M32" i="3"/>
  <c r="M31" i="3"/>
  <c r="P31" i="3" s="1"/>
  <c r="M30" i="3"/>
  <c r="P30" i="3" s="1"/>
  <c r="M29" i="3"/>
  <c r="P25" i="3"/>
  <c r="O25" i="3"/>
  <c r="N25" i="3"/>
  <c r="N15" i="3" s="1"/>
  <c r="M25" i="3"/>
  <c r="L25" i="3"/>
  <c r="L15" i="3" s="1"/>
  <c r="O15" i="3" s="1"/>
  <c r="N24" i="3"/>
  <c r="M24" i="3"/>
  <c r="P24" i="3" s="1"/>
  <c r="N23" i="3"/>
  <c r="M23" i="3"/>
  <c r="P23" i="3" s="1"/>
  <c r="P21" i="3"/>
  <c r="N21" i="3"/>
  <c r="N19" i="3" s="1"/>
  <c r="M21" i="3"/>
  <c r="M19" i="3" s="1"/>
  <c r="L21" i="3"/>
  <c r="L19" i="3"/>
  <c r="M15" i="3"/>
  <c r="P15" i="3" s="1"/>
  <c r="M13" i="3"/>
  <c r="P13" i="3" s="1"/>
  <c r="M11" i="3"/>
  <c r="P11" i="3" s="1"/>
  <c r="J677" i="2"/>
  <c r="J676" i="2"/>
  <c r="J675" i="2"/>
  <c r="J674" i="2"/>
  <c r="J673" i="2"/>
  <c r="J672" i="2"/>
  <c r="N671" i="2"/>
  <c r="L671" i="2"/>
  <c r="O671" i="2" s="1"/>
  <c r="I671" i="2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K665" i="2" s="1"/>
  <c r="J663" i="2"/>
  <c r="I663" i="2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N649" i="2"/>
  <c r="L649" i="2"/>
  <c r="O649" i="2" s="1"/>
  <c r="J649" i="2"/>
  <c r="I649" i="2"/>
  <c r="K649" i="2" s="1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O582" i="2" s="1"/>
  <c r="N581" i="2"/>
  <c r="L581" i="2"/>
  <c r="O581" i="2" s="1"/>
  <c r="N580" i="2"/>
  <c r="L580" i="2"/>
  <c r="O580" i="2" s="1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N291" i="2"/>
  <c r="M291" i="2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M273" i="2" s="1"/>
  <c r="M271" i="2" s="1"/>
  <c r="O274" i="2"/>
  <c r="N272" i="2"/>
  <c r="M272" i="2"/>
  <c r="P272" i="2" s="1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N251" i="2"/>
  <c r="M251" i="2"/>
  <c r="P251" i="2" s="1"/>
  <c r="L251" i="2"/>
  <c r="O251" i="2" s="1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N221" i="2"/>
  <c r="M221" i="2"/>
  <c r="L221" i="2"/>
  <c r="O221" i="2" s="1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P141" i="2"/>
  <c r="N141" i="2"/>
  <c r="M141" i="2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M102" i="2" s="1"/>
  <c r="L100" i="2"/>
  <c r="L99" i="2"/>
  <c r="N98" i="2"/>
  <c r="M98" i="2"/>
  <c r="O97" i="2"/>
  <c r="P95" i="2"/>
  <c r="N95" i="2"/>
  <c r="M95" i="2"/>
  <c r="L95" i="2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P67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P54" i="2"/>
  <c r="O54" i="2"/>
  <c r="N54" i="2"/>
  <c r="M54" i="2"/>
  <c r="L54" i="2"/>
  <c r="N49" i="2"/>
  <c r="L49" i="2"/>
  <c r="M49" i="2" s="1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P34" i="2"/>
  <c r="M34" i="2"/>
  <c r="M33" i="2"/>
  <c r="P33" i="2" s="1"/>
  <c r="M32" i="2"/>
  <c r="P31" i="2"/>
  <c r="M31" i="2"/>
  <c r="M29" i="2" s="1"/>
  <c r="P29" i="2"/>
  <c r="N25" i="2"/>
  <c r="N15" i="2" s="1"/>
  <c r="M25" i="2"/>
  <c r="L25" i="2"/>
  <c r="P24" i="2"/>
  <c r="N24" i="2"/>
  <c r="M24" i="2"/>
  <c r="P23" i="2"/>
  <c r="N23" i="2"/>
  <c r="M23" i="2"/>
  <c r="O21" i="2"/>
  <c r="N21" i="2"/>
  <c r="M21" i="2"/>
  <c r="P21" i="2" s="1"/>
  <c r="L21" i="2"/>
  <c r="N19" i="2"/>
  <c r="M19" i="2"/>
  <c r="P19" i="2" s="1"/>
  <c r="L19" i="2"/>
  <c r="O19" i="2" s="1"/>
  <c r="P14" i="2"/>
  <c r="M14" i="2"/>
  <c r="M13" i="2"/>
  <c r="P13" i="2" s="1"/>
  <c r="M11" i="2"/>
  <c r="O639" i="1"/>
  <c r="O637" i="1"/>
  <c r="I548" i="1"/>
  <c r="K548" i="1" s="1"/>
  <c r="I365" i="1"/>
  <c r="K365" i="1" s="1"/>
  <c r="L336" i="1"/>
  <c r="O332" i="1"/>
  <c r="N332" i="1"/>
  <c r="M332" i="1"/>
  <c r="L332" i="1"/>
  <c r="M330" i="1"/>
  <c r="P330" i="1" s="1"/>
  <c r="L330" i="1"/>
  <c r="O330" i="1" s="1"/>
  <c r="L317" i="1"/>
  <c r="O313" i="1"/>
  <c r="N313" i="1"/>
  <c r="M313" i="1"/>
  <c r="L313" i="1"/>
  <c r="N311" i="1"/>
  <c r="M311" i="1"/>
  <c r="P311" i="1" s="1"/>
  <c r="L311" i="1"/>
  <c r="O311" i="1" s="1"/>
  <c r="J307" i="1"/>
  <c r="L297" i="1"/>
  <c r="N293" i="1"/>
  <c r="M293" i="1"/>
  <c r="L293" i="1"/>
  <c r="O293" i="1" s="1"/>
  <c r="P291" i="1"/>
  <c r="N291" i="1"/>
  <c r="M291" i="1"/>
  <c r="L278" i="1"/>
  <c r="N274" i="1"/>
  <c r="M274" i="1"/>
  <c r="L274" i="1"/>
  <c r="O274" i="1" s="1"/>
  <c r="P272" i="1"/>
  <c r="M272" i="1"/>
  <c r="L272" i="1"/>
  <c r="O272" i="1" s="1"/>
  <c r="L257" i="1"/>
  <c r="O253" i="1"/>
  <c r="N253" i="1"/>
  <c r="M253" i="1"/>
  <c r="L253" i="1"/>
  <c r="N251" i="1"/>
  <c r="L251" i="1"/>
  <c r="O251" i="1" s="1"/>
  <c r="J240" i="1"/>
  <c r="L227" i="1"/>
  <c r="O223" i="1"/>
  <c r="N223" i="1"/>
  <c r="M223" i="1"/>
  <c r="L223" i="1"/>
  <c r="M221" i="1"/>
  <c r="P221" i="1" s="1"/>
  <c r="L221" i="1"/>
  <c r="O221" i="1" s="1"/>
  <c r="J214" i="1"/>
  <c r="I214" i="1"/>
  <c r="J198" i="1"/>
  <c r="L147" i="1"/>
  <c r="O143" i="1"/>
  <c r="N143" i="1"/>
  <c r="M143" i="1"/>
  <c r="L143" i="1"/>
  <c r="N141" i="1"/>
  <c r="M141" i="1"/>
  <c r="P141" i="1" s="1"/>
  <c r="L125" i="1"/>
  <c r="N121" i="1"/>
  <c r="M121" i="1"/>
  <c r="M21" i="1" s="1"/>
  <c r="M19" i="1" s="1"/>
  <c r="L121" i="1"/>
  <c r="O121" i="1" s="1"/>
  <c r="P119" i="1"/>
  <c r="O119" i="1"/>
  <c r="N119" i="1"/>
  <c r="M119" i="1"/>
  <c r="L119" i="1"/>
  <c r="L101" i="1"/>
  <c r="O97" i="1"/>
  <c r="N97" i="1"/>
  <c r="M97" i="1"/>
  <c r="L97" i="1"/>
  <c r="N95" i="1"/>
  <c r="M95" i="1"/>
  <c r="P95" i="1" s="1"/>
  <c r="L73" i="1"/>
  <c r="O69" i="1"/>
  <c r="N69" i="1"/>
  <c r="N21" i="1" s="1"/>
  <c r="M69" i="1"/>
  <c r="L69" i="1"/>
  <c r="N67" i="1"/>
  <c r="M67" i="1"/>
  <c r="P67" i="1" s="1"/>
  <c r="L67" i="1"/>
  <c r="O67" i="1" s="1"/>
  <c r="L60" i="1"/>
  <c r="L54" i="1" s="1"/>
  <c r="L56" i="1"/>
  <c r="P54" i="1"/>
  <c r="N54" i="1"/>
  <c r="M54" i="1"/>
  <c r="L48" i="1"/>
  <c r="L25" i="1" s="1"/>
  <c r="L44" i="1"/>
  <c r="P42" i="1"/>
  <c r="O42" i="1"/>
  <c r="N42" i="1"/>
  <c r="M42" i="1"/>
  <c r="L42" i="1"/>
  <c r="P36" i="1"/>
  <c r="O36" i="1"/>
  <c r="P35" i="1"/>
  <c r="O35" i="1"/>
  <c r="P34" i="1"/>
  <c r="M34" i="1"/>
  <c r="P33" i="1"/>
  <c r="M33" i="1"/>
  <c r="M32" i="1"/>
  <c r="M31" i="1"/>
  <c r="P31" i="1" s="1"/>
  <c r="P29" i="1"/>
  <c r="M29" i="1"/>
  <c r="N25" i="1"/>
  <c r="N15" i="1" s="1"/>
  <c r="M25" i="1"/>
  <c r="N24" i="1"/>
  <c r="M24" i="1"/>
  <c r="P24" i="1" s="1"/>
  <c r="N23" i="1"/>
  <c r="M23" i="1"/>
  <c r="P23" i="1" s="1"/>
  <c r="O21" i="1"/>
  <c r="L21" i="1"/>
  <c r="L19" i="1" s="1"/>
  <c r="O19" i="1" s="1"/>
  <c r="O564" i="3" l="1"/>
  <c r="O564" i="4"/>
  <c r="K164" i="6"/>
  <c r="K200" i="6"/>
  <c r="K349" i="6"/>
  <c r="O601" i="2"/>
  <c r="N142" i="18"/>
  <c r="N140" i="18" s="1"/>
  <c r="L640" i="22"/>
  <c r="M312" i="3"/>
  <c r="P312" i="3" s="1"/>
  <c r="K420" i="16"/>
  <c r="O564" i="9"/>
  <c r="K665" i="10"/>
  <c r="L98" i="11"/>
  <c r="L96" i="11" s="1"/>
  <c r="L94" i="11" s="1"/>
  <c r="O94" i="11" s="1"/>
  <c r="K267" i="15"/>
  <c r="N222" i="4"/>
  <c r="P222" i="4" s="1"/>
  <c r="O535" i="6"/>
  <c r="K597" i="9"/>
  <c r="K380" i="12"/>
  <c r="K401" i="12"/>
  <c r="O406" i="12"/>
  <c r="O665" i="12"/>
  <c r="P70" i="3"/>
  <c r="N142" i="7"/>
  <c r="N140" i="7" s="1"/>
  <c r="N43" i="13"/>
  <c r="N41" i="13" s="1"/>
  <c r="K204" i="8"/>
  <c r="K422" i="2"/>
  <c r="K564" i="8"/>
  <c r="O566" i="8"/>
  <c r="K629" i="8"/>
  <c r="K632" i="8"/>
  <c r="K635" i="8"/>
  <c r="L254" i="9"/>
  <c r="O254" i="9" s="1"/>
  <c r="O649" i="17"/>
  <c r="K634" i="18"/>
  <c r="M312" i="16"/>
  <c r="P312" i="16" s="1"/>
  <c r="K189" i="9"/>
  <c r="O383" i="16"/>
  <c r="K398" i="16"/>
  <c r="O401" i="16"/>
  <c r="K421" i="16"/>
  <c r="K427" i="16"/>
  <c r="K533" i="16"/>
  <c r="O535" i="16"/>
  <c r="K189" i="17"/>
  <c r="L333" i="4"/>
  <c r="O333" i="4" s="1"/>
  <c r="K340" i="4"/>
  <c r="K199" i="9"/>
  <c r="K619" i="10"/>
  <c r="K189" i="14"/>
  <c r="K229" i="14"/>
  <c r="K235" i="14"/>
  <c r="K381" i="14"/>
  <c r="K93" i="16"/>
  <c r="K629" i="9"/>
  <c r="K632" i="9"/>
  <c r="K635" i="9"/>
  <c r="N312" i="10"/>
  <c r="N310" i="10" s="1"/>
  <c r="J671" i="15"/>
  <c r="N96" i="16"/>
  <c r="N94" i="16" s="1"/>
  <c r="N252" i="14"/>
  <c r="N250" i="14" s="1"/>
  <c r="N292" i="13"/>
  <c r="N290" i="13" s="1"/>
  <c r="K340" i="14"/>
  <c r="M120" i="15"/>
  <c r="P120" i="15" s="1"/>
  <c r="K370" i="15"/>
  <c r="K397" i="15"/>
  <c r="K401" i="15"/>
  <c r="O406" i="15"/>
  <c r="K449" i="15"/>
  <c r="O537" i="15"/>
  <c r="L224" i="5"/>
  <c r="O224" i="5" s="1"/>
  <c r="K473" i="5"/>
  <c r="K497" i="5"/>
  <c r="K533" i="5"/>
  <c r="O535" i="5"/>
  <c r="K630" i="5"/>
  <c r="O385" i="7"/>
  <c r="K401" i="7"/>
  <c r="K449" i="7"/>
  <c r="K665" i="8"/>
  <c r="K668" i="8"/>
  <c r="K401" i="10"/>
  <c r="O406" i="10"/>
  <c r="K420" i="10"/>
  <c r="K426" i="10"/>
  <c r="K432" i="10"/>
  <c r="K533" i="14"/>
  <c r="O535" i="14"/>
  <c r="O597" i="14"/>
  <c r="K108" i="16"/>
  <c r="K111" i="16"/>
  <c r="K173" i="18"/>
  <c r="K200" i="18"/>
  <c r="K422" i="21"/>
  <c r="K428" i="21"/>
  <c r="K270" i="10"/>
  <c r="K634" i="19"/>
  <c r="N273" i="21"/>
  <c r="N271" i="21" s="1"/>
  <c r="K87" i="3"/>
  <c r="N68" i="4"/>
  <c r="N66" i="4" s="1"/>
  <c r="K630" i="7"/>
  <c r="N43" i="21"/>
  <c r="N41" i="21" s="1"/>
  <c r="P41" i="21" s="1"/>
  <c r="J671" i="19"/>
  <c r="K451" i="21"/>
  <c r="K164" i="2"/>
  <c r="K173" i="2"/>
  <c r="K186" i="2"/>
  <c r="K200" i="2"/>
  <c r="K204" i="2"/>
  <c r="K213" i="2"/>
  <c r="K417" i="2"/>
  <c r="K186" i="3"/>
  <c r="K200" i="3"/>
  <c r="K204" i="3"/>
  <c r="L57" i="4"/>
  <c r="O57" i="4" s="1"/>
  <c r="L294" i="4"/>
  <c r="O294" i="4" s="1"/>
  <c r="O354" i="4"/>
  <c r="J369" i="1"/>
  <c r="K498" i="4"/>
  <c r="K80" i="6"/>
  <c r="K376" i="6"/>
  <c r="K380" i="6"/>
  <c r="O406" i="6"/>
  <c r="K417" i="6"/>
  <c r="K499" i="6"/>
  <c r="O537" i="6"/>
  <c r="K628" i="17"/>
  <c r="K631" i="17"/>
  <c r="K634" i="17"/>
  <c r="K649" i="17"/>
  <c r="K83" i="18"/>
  <c r="K112" i="5"/>
  <c r="K341" i="18"/>
  <c r="O537" i="20"/>
  <c r="K629" i="20"/>
  <c r="K635" i="20"/>
  <c r="L224" i="21"/>
  <c r="L222" i="21" s="1"/>
  <c r="L220" i="21" s="1"/>
  <c r="O564" i="21"/>
  <c r="O584" i="21"/>
  <c r="N292" i="22"/>
  <c r="N290" i="22" s="1"/>
  <c r="J83" i="1"/>
  <c r="P70" i="6"/>
  <c r="N222" i="8"/>
  <c r="N220" i="8" s="1"/>
  <c r="O49" i="17"/>
  <c r="K615" i="6"/>
  <c r="J671" i="7"/>
  <c r="L275" i="12"/>
  <c r="O275" i="12" s="1"/>
  <c r="K235" i="15"/>
  <c r="K372" i="17"/>
  <c r="K375" i="17"/>
  <c r="N144" i="1"/>
  <c r="K213" i="18"/>
  <c r="K92" i="19"/>
  <c r="K377" i="8"/>
  <c r="O380" i="8"/>
  <c r="K450" i="8"/>
  <c r="O564" i="8"/>
  <c r="K375" i="12"/>
  <c r="K402" i="12"/>
  <c r="K416" i="12"/>
  <c r="K164" i="17"/>
  <c r="K173" i="17"/>
  <c r="K421" i="18"/>
  <c r="K464" i="18"/>
  <c r="K473" i="18"/>
  <c r="K482" i="18"/>
  <c r="K630" i="18"/>
  <c r="K423" i="19"/>
  <c r="K429" i="19"/>
  <c r="K449" i="19"/>
  <c r="K466" i="19"/>
  <c r="K481" i="19"/>
  <c r="N55" i="20"/>
  <c r="N53" i="20" s="1"/>
  <c r="K343" i="21"/>
  <c r="O349" i="21"/>
  <c r="O401" i="22"/>
  <c r="O404" i="22"/>
  <c r="J671" i="22"/>
  <c r="K425" i="2"/>
  <c r="L314" i="8"/>
  <c r="L312" i="8" s="1"/>
  <c r="O312" i="8" s="1"/>
  <c r="K349" i="8"/>
  <c r="K396" i="17"/>
  <c r="L98" i="19"/>
  <c r="L96" i="19" s="1"/>
  <c r="N252" i="2"/>
  <c r="N250" i="2" s="1"/>
  <c r="N292" i="12"/>
  <c r="N290" i="12" s="1"/>
  <c r="L57" i="14"/>
  <c r="L55" i="14" s="1"/>
  <c r="L53" i="14" s="1"/>
  <c r="N68" i="20"/>
  <c r="N66" i="20" s="1"/>
  <c r="K432" i="2"/>
  <c r="K81" i="6"/>
  <c r="N331" i="6"/>
  <c r="N43" i="7"/>
  <c r="J324" i="1"/>
  <c r="N120" i="10"/>
  <c r="N118" i="10" s="1"/>
  <c r="J651" i="17"/>
  <c r="K651" i="17" s="1"/>
  <c r="K270" i="18"/>
  <c r="K108" i="19"/>
  <c r="K111" i="19"/>
  <c r="K200" i="10"/>
  <c r="N597" i="1"/>
  <c r="N142" i="11"/>
  <c r="P142" i="11" s="1"/>
  <c r="J429" i="1"/>
  <c r="J481" i="1"/>
  <c r="O665" i="13"/>
  <c r="K420" i="3"/>
  <c r="K423" i="3"/>
  <c r="K426" i="3"/>
  <c r="K429" i="3"/>
  <c r="K432" i="3"/>
  <c r="O435" i="3"/>
  <c r="K449" i="3"/>
  <c r="K466" i="3"/>
  <c r="M120" i="6"/>
  <c r="P120" i="6" s="1"/>
  <c r="K635" i="6"/>
  <c r="O661" i="6"/>
  <c r="O671" i="6"/>
  <c r="O533" i="7"/>
  <c r="O568" i="7"/>
  <c r="K573" i="7"/>
  <c r="K423" i="9"/>
  <c r="K429" i="9"/>
  <c r="O435" i="9"/>
  <c r="K449" i="9"/>
  <c r="K573" i="9"/>
  <c r="K630" i="9"/>
  <c r="K633" i="9"/>
  <c r="K628" i="10"/>
  <c r="K649" i="10"/>
  <c r="K617" i="13"/>
  <c r="K633" i="13"/>
  <c r="K380" i="14"/>
  <c r="O435" i="14"/>
  <c r="K449" i="14"/>
  <c r="O566" i="14"/>
  <c r="L57" i="16"/>
  <c r="L55" i="16" s="1"/>
  <c r="K173" i="16"/>
  <c r="K219" i="17"/>
  <c r="K663" i="17"/>
  <c r="K149" i="19"/>
  <c r="L224" i="19"/>
  <c r="O224" i="19" s="1"/>
  <c r="K425" i="20"/>
  <c r="P312" i="13"/>
  <c r="M310" i="13"/>
  <c r="P310" i="13" s="1"/>
  <c r="J595" i="1"/>
  <c r="I149" i="1"/>
  <c r="J203" i="1"/>
  <c r="J269" i="1"/>
  <c r="K341" i="3"/>
  <c r="O665" i="6"/>
  <c r="K173" i="9"/>
  <c r="K200" i="9"/>
  <c r="K213" i="9"/>
  <c r="O650" i="10"/>
  <c r="L254" i="15"/>
  <c r="L252" i="15" s="1"/>
  <c r="L250" i="15" s="1"/>
  <c r="I340" i="1"/>
  <c r="J426" i="1"/>
  <c r="J432" i="1"/>
  <c r="N458" i="1"/>
  <c r="K81" i="18"/>
  <c r="O347" i="20"/>
  <c r="J360" i="1"/>
  <c r="J281" i="1"/>
  <c r="O455" i="2"/>
  <c r="N142" i="3"/>
  <c r="N140" i="3" s="1"/>
  <c r="K455" i="6"/>
  <c r="N312" i="7"/>
  <c r="N310" i="7" s="1"/>
  <c r="N68" i="9"/>
  <c r="N66" i="9" s="1"/>
  <c r="N222" i="13"/>
  <c r="N220" i="13" s="1"/>
  <c r="L275" i="13"/>
  <c r="O275" i="13" s="1"/>
  <c r="P314" i="13"/>
  <c r="N142" i="14"/>
  <c r="P142" i="14" s="1"/>
  <c r="J149" i="1"/>
  <c r="L314" i="15"/>
  <c r="O314" i="15" s="1"/>
  <c r="L254" i="16"/>
  <c r="L252" i="16" s="1"/>
  <c r="K249" i="19"/>
  <c r="L275" i="19"/>
  <c r="L273" i="19" s="1"/>
  <c r="N312" i="20"/>
  <c r="N310" i="20" s="1"/>
  <c r="K270" i="2"/>
  <c r="I481" i="1"/>
  <c r="L314" i="3"/>
  <c r="O314" i="3" s="1"/>
  <c r="N557" i="1"/>
  <c r="P45" i="7"/>
  <c r="N273" i="11"/>
  <c r="N271" i="11" s="1"/>
  <c r="J671" i="13"/>
  <c r="K671" i="13" s="1"/>
  <c r="J651" i="14"/>
  <c r="K651" i="14" s="1"/>
  <c r="N96" i="17"/>
  <c r="N94" i="17" s="1"/>
  <c r="P275" i="17"/>
  <c r="J340" i="1"/>
  <c r="J414" i="1"/>
  <c r="J475" i="1"/>
  <c r="J478" i="1"/>
  <c r="M96" i="3"/>
  <c r="P96" i="3" s="1"/>
  <c r="N380" i="1"/>
  <c r="N439" i="1"/>
  <c r="L45" i="5"/>
  <c r="L43" i="5" s="1"/>
  <c r="L41" i="5" s="1"/>
  <c r="N331" i="5"/>
  <c r="N329" i="5" s="1"/>
  <c r="K634" i="5"/>
  <c r="K340" i="6"/>
  <c r="M252" i="7"/>
  <c r="P252" i="7" s="1"/>
  <c r="K621" i="7"/>
  <c r="M120" i="9"/>
  <c r="P120" i="9" s="1"/>
  <c r="N644" i="10"/>
  <c r="N640" i="10" s="1"/>
  <c r="N638" i="10" s="1"/>
  <c r="N636" i="10" s="1"/>
  <c r="J372" i="1"/>
  <c r="N461" i="1"/>
  <c r="K138" i="15"/>
  <c r="K189" i="15"/>
  <c r="L333" i="15"/>
  <c r="O333" i="15" s="1"/>
  <c r="K340" i="15"/>
  <c r="K635" i="15"/>
  <c r="N68" i="19"/>
  <c r="P68" i="19" s="1"/>
  <c r="K663" i="20"/>
  <c r="K235" i="21"/>
  <c r="K265" i="21"/>
  <c r="O566" i="21"/>
  <c r="K632" i="2"/>
  <c r="O380" i="3"/>
  <c r="O383" i="3"/>
  <c r="K398" i="3"/>
  <c r="K474" i="4"/>
  <c r="K650" i="4"/>
  <c r="L70" i="5"/>
  <c r="O70" i="5" s="1"/>
  <c r="P333" i="5"/>
  <c r="K64" i="6"/>
  <c r="K621" i="6"/>
  <c r="L294" i="7"/>
  <c r="O294" i="7" s="1"/>
  <c r="K635" i="7"/>
  <c r="K628" i="8"/>
  <c r="K631" i="8"/>
  <c r="K634" i="8"/>
  <c r="K235" i="9"/>
  <c r="L275" i="10"/>
  <c r="O275" i="10" s="1"/>
  <c r="K398" i="10"/>
  <c r="O401" i="10"/>
  <c r="O439" i="10"/>
  <c r="K450" i="10"/>
  <c r="K423" i="13"/>
  <c r="K429" i="13"/>
  <c r="O537" i="13"/>
  <c r="K632" i="13"/>
  <c r="K368" i="15"/>
  <c r="K377" i="15"/>
  <c r="O380" i="15"/>
  <c r="O401" i="15"/>
  <c r="O404" i="15"/>
  <c r="K450" i="15"/>
  <c r="O459" i="15"/>
  <c r="K464" i="15"/>
  <c r="K473" i="15"/>
  <c r="K482" i="15"/>
  <c r="K497" i="15"/>
  <c r="K533" i="15"/>
  <c r="O535" i="15"/>
  <c r="O564" i="15"/>
  <c r="N312" i="16"/>
  <c r="P333" i="17"/>
  <c r="K345" i="17"/>
  <c r="K349" i="17"/>
  <c r="O537" i="17"/>
  <c r="K564" i="17"/>
  <c r="K80" i="18"/>
  <c r="K401" i="18"/>
  <c r="O406" i="18"/>
  <c r="K417" i="18"/>
  <c r="K429" i="18"/>
  <c r="K466" i="18"/>
  <c r="K481" i="18"/>
  <c r="K499" i="18"/>
  <c r="O580" i="18"/>
  <c r="K591" i="18"/>
  <c r="L294" i="19"/>
  <c r="L292" i="19" s="1"/>
  <c r="O292" i="19" s="1"/>
  <c r="K435" i="19"/>
  <c r="K424" i="21"/>
  <c r="K430" i="21"/>
  <c r="O439" i="21"/>
  <c r="I92" i="1"/>
  <c r="I490" i="1"/>
  <c r="K490" i="1" s="1"/>
  <c r="K267" i="2"/>
  <c r="L275" i="2"/>
  <c r="L273" i="2" s="1"/>
  <c r="L271" i="2" s="1"/>
  <c r="N387" i="1"/>
  <c r="J421" i="1"/>
  <c r="K430" i="2"/>
  <c r="J434" i="1"/>
  <c r="N456" i="1"/>
  <c r="J464" i="1"/>
  <c r="I596" i="1"/>
  <c r="K596" i="1" s="1"/>
  <c r="J673" i="1"/>
  <c r="N388" i="1"/>
  <c r="I451" i="1"/>
  <c r="N598" i="1"/>
  <c r="J131" i="1"/>
  <c r="J241" i="1"/>
  <c r="J246" i="1"/>
  <c r="N252" i="8"/>
  <c r="N250" i="8" s="1"/>
  <c r="I367" i="13"/>
  <c r="K367" i="13" s="1"/>
  <c r="N568" i="1"/>
  <c r="J647" i="1"/>
  <c r="I665" i="1"/>
  <c r="K665" i="14"/>
  <c r="J676" i="1"/>
  <c r="L70" i="15"/>
  <c r="L68" i="15" s="1"/>
  <c r="L66" i="15" s="1"/>
  <c r="O66" i="15" s="1"/>
  <c r="I64" i="1"/>
  <c r="J84" i="1"/>
  <c r="O599" i="19"/>
  <c r="N603" i="1"/>
  <c r="J625" i="1"/>
  <c r="K629" i="19"/>
  <c r="K368" i="21"/>
  <c r="K591" i="21"/>
  <c r="K632" i="21"/>
  <c r="K665" i="21"/>
  <c r="J518" i="1"/>
  <c r="N555" i="1"/>
  <c r="I377" i="1"/>
  <c r="I500" i="1"/>
  <c r="K500" i="1" s="1"/>
  <c r="P45" i="2"/>
  <c r="M96" i="2"/>
  <c r="M94" i="2" s="1"/>
  <c r="L225" i="1"/>
  <c r="J242" i="1"/>
  <c r="I381" i="1"/>
  <c r="I564" i="1"/>
  <c r="L566" i="1"/>
  <c r="J653" i="1"/>
  <c r="J660" i="1"/>
  <c r="J663" i="1"/>
  <c r="L70" i="3"/>
  <c r="L68" i="3" s="1"/>
  <c r="L66" i="3" s="1"/>
  <c r="N120" i="3"/>
  <c r="N120" i="4"/>
  <c r="N118" i="4" s="1"/>
  <c r="J182" i="1"/>
  <c r="J261" i="1"/>
  <c r="N292" i="7"/>
  <c r="N290" i="7" s="1"/>
  <c r="N96" i="9"/>
  <c r="N94" i="9" s="1"/>
  <c r="K663" i="10"/>
  <c r="K189" i="11"/>
  <c r="K199" i="11"/>
  <c r="N312" i="11"/>
  <c r="N310" i="11" s="1"/>
  <c r="K423" i="11"/>
  <c r="K426" i="11"/>
  <c r="K449" i="11"/>
  <c r="O455" i="11"/>
  <c r="K466" i="11"/>
  <c r="O566" i="11"/>
  <c r="K597" i="11"/>
  <c r="K340" i="12"/>
  <c r="O671" i="13"/>
  <c r="N68" i="16"/>
  <c r="N66" i="16" s="1"/>
  <c r="K270" i="16"/>
  <c r="K380" i="16"/>
  <c r="N142" i="17"/>
  <c r="N140" i="17" s="1"/>
  <c r="N312" i="17"/>
  <c r="N310" i="17" s="1"/>
  <c r="K497" i="18"/>
  <c r="N120" i="19"/>
  <c r="N118" i="19" s="1"/>
  <c r="N252" i="19"/>
  <c r="N250" i="19" s="1"/>
  <c r="O380" i="19"/>
  <c r="K219" i="20"/>
  <c r="N644" i="20"/>
  <c r="N640" i="20" s="1"/>
  <c r="N638" i="20" s="1"/>
  <c r="N636" i="20" s="1"/>
  <c r="J671" i="20"/>
  <c r="N55" i="21"/>
  <c r="P55" i="21" s="1"/>
  <c r="K341" i="21"/>
  <c r="O668" i="21"/>
  <c r="J530" i="1"/>
  <c r="L226" i="1"/>
  <c r="J232" i="1"/>
  <c r="J237" i="1"/>
  <c r="N410" i="1"/>
  <c r="J422" i="1"/>
  <c r="K474" i="2"/>
  <c r="N559" i="1"/>
  <c r="J130" i="1"/>
  <c r="J134" i="1"/>
  <c r="J160" i="1"/>
  <c r="M224" i="1"/>
  <c r="J651" i="3"/>
  <c r="K651" i="3" s="1"/>
  <c r="L122" i="4"/>
  <c r="L120" i="4" s="1"/>
  <c r="K270" i="4"/>
  <c r="J651" i="5"/>
  <c r="L224" i="7"/>
  <c r="O224" i="7" s="1"/>
  <c r="P70" i="8"/>
  <c r="O354" i="8"/>
  <c r="J651" i="13"/>
  <c r="K343" i="15"/>
  <c r="O349" i="15"/>
  <c r="O352" i="15"/>
  <c r="O599" i="15"/>
  <c r="K435" i="17"/>
  <c r="O437" i="17"/>
  <c r="N222" i="18"/>
  <c r="K615" i="18"/>
  <c r="J651" i="18"/>
  <c r="N292" i="19"/>
  <c r="N290" i="19" s="1"/>
  <c r="O457" i="21"/>
  <c r="K465" i="21"/>
  <c r="K474" i="21"/>
  <c r="N539" i="1"/>
  <c r="J128" i="1"/>
  <c r="I133" i="1"/>
  <c r="L255" i="1"/>
  <c r="K88" i="3"/>
  <c r="J108" i="1"/>
  <c r="N252" i="3"/>
  <c r="N250" i="3" s="1"/>
  <c r="N536" i="1"/>
  <c r="L568" i="1"/>
  <c r="N605" i="1"/>
  <c r="J617" i="1"/>
  <c r="J76" i="1"/>
  <c r="K564" i="4"/>
  <c r="N68" i="5"/>
  <c r="N66" i="5" s="1"/>
  <c r="M144" i="1"/>
  <c r="K189" i="5"/>
  <c r="N298" i="1"/>
  <c r="J309" i="1"/>
  <c r="N349" i="1"/>
  <c r="I421" i="1"/>
  <c r="K421" i="1" s="1"/>
  <c r="I424" i="1"/>
  <c r="I430" i="1"/>
  <c r="M68" i="6"/>
  <c r="M66" i="6" s="1"/>
  <c r="N96" i="6"/>
  <c r="N94" i="6" s="1"/>
  <c r="O597" i="6"/>
  <c r="K621" i="10"/>
  <c r="O401" i="11"/>
  <c r="N222" i="12"/>
  <c r="N220" i="12" s="1"/>
  <c r="P220" i="12" s="1"/>
  <c r="N331" i="12"/>
  <c r="N329" i="12" s="1"/>
  <c r="O599" i="12"/>
  <c r="K435" i="14"/>
  <c r="O437" i="14"/>
  <c r="K455" i="14"/>
  <c r="O459" i="14"/>
  <c r="L294" i="15"/>
  <c r="O294" i="15" s="1"/>
  <c r="K573" i="19"/>
  <c r="K580" i="19"/>
  <c r="O582" i="19"/>
  <c r="I367" i="20"/>
  <c r="K367" i="20" s="1"/>
  <c r="K149" i="22"/>
  <c r="L314" i="22"/>
  <c r="L312" i="22" s="1"/>
  <c r="I324" i="1"/>
  <c r="I470" i="1"/>
  <c r="K470" i="1" s="1"/>
  <c r="I561" i="1"/>
  <c r="K561" i="1" s="1"/>
  <c r="L144" i="2"/>
  <c r="O144" i="2" s="1"/>
  <c r="P298" i="2"/>
  <c r="K309" i="2"/>
  <c r="L334" i="1"/>
  <c r="K340" i="2"/>
  <c r="L349" i="1"/>
  <c r="O352" i="2"/>
  <c r="J373" i="1"/>
  <c r="N382" i="1"/>
  <c r="K249" i="3"/>
  <c r="K265" i="3"/>
  <c r="L275" i="3"/>
  <c r="L273" i="3" s="1"/>
  <c r="K482" i="3"/>
  <c r="O601" i="3"/>
  <c r="K132" i="4"/>
  <c r="K185" i="4"/>
  <c r="K199" i="4"/>
  <c r="K377" i="4"/>
  <c r="K398" i="4"/>
  <c r="O459" i="4"/>
  <c r="K464" i="4"/>
  <c r="K350" i="5"/>
  <c r="O568" i="6"/>
  <c r="K633" i="6"/>
  <c r="M292" i="7"/>
  <c r="P292" i="7" s="1"/>
  <c r="O401" i="7"/>
  <c r="K533" i="7"/>
  <c r="O535" i="7"/>
  <c r="O564" i="7"/>
  <c r="K634" i="7"/>
  <c r="O651" i="8"/>
  <c r="L70" i="10"/>
  <c r="O70" i="10" s="1"/>
  <c r="L333" i="10"/>
  <c r="L331" i="10" s="1"/>
  <c r="K370" i="10"/>
  <c r="K632" i="10"/>
  <c r="K229" i="12"/>
  <c r="K450" i="12"/>
  <c r="O584" i="12"/>
  <c r="K630" i="12"/>
  <c r="K402" i="13"/>
  <c r="K465" i="14"/>
  <c r="K628" i="14"/>
  <c r="K631" i="14"/>
  <c r="K634" i="14"/>
  <c r="P98" i="16"/>
  <c r="K109" i="16"/>
  <c r="K112" i="16"/>
  <c r="N252" i="16"/>
  <c r="N250" i="16" s="1"/>
  <c r="K381" i="16"/>
  <c r="K396" i="16"/>
  <c r="K402" i="16"/>
  <c r="K416" i="16"/>
  <c r="K419" i="16"/>
  <c r="O435" i="17"/>
  <c r="K573" i="18"/>
  <c r="O650" i="21"/>
  <c r="J89" i="1"/>
  <c r="J658" i="1"/>
  <c r="I450" i="1"/>
  <c r="L256" i="1"/>
  <c r="N148" i="1"/>
  <c r="J161" i="1"/>
  <c r="I474" i="1"/>
  <c r="I512" i="1"/>
  <c r="K512" i="1" s="1"/>
  <c r="L47" i="1"/>
  <c r="I158" i="1"/>
  <c r="J199" i="1"/>
  <c r="J212" i="1"/>
  <c r="J265" i="1"/>
  <c r="K381" i="2"/>
  <c r="J483" i="1"/>
  <c r="J512" i="1"/>
  <c r="J517" i="1"/>
  <c r="J520" i="1"/>
  <c r="J523" i="1"/>
  <c r="J526" i="1"/>
  <c r="J529" i="1"/>
  <c r="J532" i="1"/>
  <c r="N534" i="1"/>
  <c r="N537" i="1"/>
  <c r="J544" i="1"/>
  <c r="N551" i="1"/>
  <c r="N554" i="1"/>
  <c r="N43" i="3"/>
  <c r="N41" i="3" s="1"/>
  <c r="K65" i="3"/>
  <c r="K219" i="3"/>
  <c r="K235" i="3"/>
  <c r="K417" i="3"/>
  <c r="J420" i="1"/>
  <c r="N441" i="1"/>
  <c r="J579" i="1"/>
  <c r="N581" i="1"/>
  <c r="J611" i="1"/>
  <c r="J364" i="1"/>
  <c r="J377" i="1"/>
  <c r="J394" i="1"/>
  <c r="N404" i="1"/>
  <c r="N408" i="1"/>
  <c r="J415" i="1"/>
  <c r="J418" i="1"/>
  <c r="J646" i="1"/>
  <c r="J487" i="1"/>
  <c r="J662" i="1"/>
  <c r="J270" i="1"/>
  <c r="I229" i="1"/>
  <c r="I648" i="1"/>
  <c r="L99" i="1"/>
  <c r="J106" i="1"/>
  <c r="I110" i="1"/>
  <c r="I113" i="1"/>
  <c r="N142" i="2"/>
  <c r="N140" i="2" s="1"/>
  <c r="K149" i="2"/>
  <c r="J233" i="1"/>
  <c r="J308" i="1"/>
  <c r="K324" i="2"/>
  <c r="J342" i="1"/>
  <c r="J345" i="1"/>
  <c r="K349" i="2"/>
  <c r="N351" i="1"/>
  <c r="N354" i="1"/>
  <c r="J366" i="1"/>
  <c r="I370" i="1"/>
  <c r="I376" i="1"/>
  <c r="I380" i="1"/>
  <c r="K416" i="2"/>
  <c r="K435" i="2"/>
  <c r="O437" i="2"/>
  <c r="I473" i="1"/>
  <c r="K533" i="2"/>
  <c r="K560" i="2"/>
  <c r="K267" i="3"/>
  <c r="J304" i="1"/>
  <c r="N356" i="1"/>
  <c r="N386" i="1"/>
  <c r="J393" i="1"/>
  <c r="N407" i="1"/>
  <c r="J596" i="1"/>
  <c r="K380" i="4"/>
  <c r="L385" i="1"/>
  <c r="I397" i="1"/>
  <c r="O435" i="4"/>
  <c r="N442" i="1"/>
  <c r="I449" i="1"/>
  <c r="O455" i="4"/>
  <c r="K466" i="4"/>
  <c r="K547" i="4"/>
  <c r="O582" i="4"/>
  <c r="I615" i="1"/>
  <c r="K92" i="5"/>
  <c r="K110" i="5"/>
  <c r="K173" i="5"/>
  <c r="J195" i="1"/>
  <c r="N252" i="5"/>
  <c r="N250" i="5" s="1"/>
  <c r="K372" i="5"/>
  <c r="I375" i="1"/>
  <c r="J378" i="1"/>
  <c r="K396" i="5"/>
  <c r="K635" i="5"/>
  <c r="J132" i="1"/>
  <c r="J138" i="1"/>
  <c r="P294" i="17"/>
  <c r="M292" i="17"/>
  <c r="P292" i="17" s="1"/>
  <c r="I80" i="1"/>
  <c r="J266" i="1"/>
  <c r="J184" i="1"/>
  <c r="I452" i="1"/>
  <c r="K452" i="1" s="1"/>
  <c r="I485" i="1"/>
  <c r="K485" i="1" s="1"/>
  <c r="N68" i="2"/>
  <c r="N66" i="2" s="1"/>
  <c r="K92" i="2"/>
  <c r="N120" i="2"/>
  <c r="N118" i="2" s="1"/>
  <c r="I401" i="1"/>
  <c r="L406" i="1"/>
  <c r="J412" i="1"/>
  <c r="J608" i="1"/>
  <c r="J612" i="1"/>
  <c r="J615" i="1"/>
  <c r="J618" i="1"/>
  <c r="J621" i="1"/>
  <c r="J624" i="1"/>
  <c r="J628" i="1"/>
  <c r="J634" i="1"/>
  <c r="K81" i="3"/>
  <c r="N357" i="1"/>
  <c r="J374" i="1"/>
  <c r="K450" i="3"/>
  <c r="J549" i="1"/>
  <c r="J591" i="1"/>
  <c r="J675" i="1"/>
  <c r="N55" i="4"/>
  <c r="N53" i="4" s="1"/>
  <c r="K264" i="4"/>
  <c r="K267" i="4"/>
  <c r="J573" i="1"/>
  <c r="K612" i="4"/>
  <c r="J169" i="1"/>
  <c r="J174" i="1"/>
  <c r="J187" i="1"/>
  <c r="J196" i="1"/>
  <c r="J209" i="1"/>
  <c r="I498" i="1"/>
  <c r="I519" i="1"/>
  <c r="I528" i="1"/>
  <c r="N540" i="1"/>
  <c r="I547" i="1"/>
  <c r="L295" i="1"/>
  <c r="J302" i="1"/>
  <c r="K371" i="15"/>
  <c r="I367" i="15"/>
  <c r="K367" i="15" s="1"/>
  <c r="N668" i="1"/>
  <c r="J263" i="1"/>
  <c r="J157" i="1"/>
  <c r="J156" i="1"/>
  <c r="J189" i="1"/>
  <c r="I488" i="1"/>
  <c r="K488" i="1" s="1"/>
  <c r="L583" i="1"/>
  <c r="O583" i="1" s="1"/>
  <c r="L71" i="1"/>
  <c r="I466" i="1"/>
  <c r="O599" i="2"/>
  <c r="N650" i="1"/>
  <c r="J344" i="1"/>
  <c r="N347" i="1"/>
  <c r="K431" i="3"/>
  <c r="J493" i="1"/>
  <c r="J521" i="1"/>
  <c r="J524" i="1"/>
  <c r="J527" i="1"/>
  <c r="J533" i="1"/>
  <c r="N535" i="1"/>
  <c r="J546" i="1"/>
  <c r="N552" i="1"/>
  <c r="L661" i="1"/>
  <c r="J665" i="1"/>
  <c r="L671" i="1"/>
  <c r="N314" i="1"/>
  <c r="J321" i="1"/>
  <c r="J505" i="1"/>
  <c r="M68" i="5"/>
  <c r="M66" i="5" s="1"/>
  <c r="P66" i="5" s="1"/>
  <c r="J510" i="1"/>
  <c r="P314" i="15"/>
  <c r="M312" i="15"/>
  <c r="P312" i="15" s="1"/>
  <c r="N600" i="1"/>
  <c r="J188" i="1"/>
  <c r="I81" i="1"/>
  <c r="L403" i="1"/>
  <c r="O403" i="1" s="1"/>
  <c r="I592" i="1"/>
  <c r="K592" i="1" s="1"/>
  <c r="N43" i="2"/>
  <c r="N41" i="2" s="1"/>
  <c r="O347" i="2"/>
  <c r="O404" i="2"/>
  <c r="K418" i="2"/>
  <c r="K551" i="2"/>
  <c r="L597" i="1"/>
  <c r="J79" i="1"/>
  <c r="J114" i="1"/>
  <c r="L122" i="3"/>
  <c r="O122" i="3" s="1"/>
  <c r="L144" i="3"/>
  <c r="L142" i="3" s="1"/>
  <c r="J159" i="1"/>
  <c r="J164" i="1"/>
  <c r="J186" i="1"/>
  <c r="J200" i="1"/>
  <c r="J204" i="1"/>
  <c r="J218" i="1"/>
  <c r="K328" i="3"/>
  <c r="I345" i="1"/>
  <c r="N437" i="1"/>
  <c r="J448" i="1"/>
  <c r="J455" i="1"/>
  <c r="N457" i="1"/>
  <c r="L45" i="4"/>
  <c r="L43" i="4" s="1"/>
  <c r="L41" i="4" s="1"/>
  <c r="K173" i="4"/>
  <c r="K200" i="4"/>
  <c r="K213" i="4"/>
  <c r="K265" i="4"/>
  <c r="N294" i="1"/>
  <c r="J306" i="1"/>
  <c r="K341" i="4"/>
  <c r="J476" i="1"/>
  <c r="I497" i="1"/>
  <c r="J511" i="1"/>
  <c r="N43" i="5"/>
  <c r="N41" i="5" s="1"/>
  <c r="N438" i="1"/>
  <c r="N455" i="1"/>
  <c r="L146" i="1"/>
  <c r="J155" i="1"/>
  <c r="J183" i="1"/>
  <c r="P122" i="18"/>
  <c r="M120" i="18"/>
  <c r="M118" i="18" s="1"/>
  <c r="P118" i="18" s="1"/>
  <c r="K632" i="19"/>
  <c r="J506" i="1"/>
  <c r="K149" i="8"/>
  <c r="N331" i="8"/>
  <c r="N329" i="8" s="1"/>
  <c r="J577" i="1"/>
  <c r="N586" i="1"/>
  <c r="N601" i="1"/>
  <c r="J236" i="1"/>
  <c r="N331" i="10"/>
  <c r="N329" i="10" s="1"/>
  <c r="K396" i="10"/>
  <c r="O533" i="10"/>
  <c r="J375" i="1"/>
  <c r="J379" i="1"/>
  <c r="K402" i="11"/>
  <c r="N533" i="1"/>
  <c r="N541" i="1"/>
  <c r="J547" i="1"/>
  <c r="N553" i="1"/>
  <c r="K189" i="12"/>
  <c r="K199" i="12"/>
  <c r="K216" i="12"/>
  <c r="K665" i="13"/>
  <c r="N120" i="14"/>
  <c r="N118" i="14" s="1"/>
  <c r="K632" i="14"/>
  <c r="L122" i="17"/>
  <c r="L354" i="1"/>
  <c r="J365" i="1"/>
  <c r="N120" i="18"/>
  <c r="N118" i="18" s="1"/>
  <c r="K580" i="18"/>
  <c r="O601" i="18"/>
  <c r="K623" i="18"/>
  <c r="K372" i="19"/>
  <c r="O439" i="19"/>
  <c r="K533" i="19"/>
  <c r="K613" i="19"/>
  <c r="K635" i="19"/>
  <c r="K628" i="20"/>
  <c r="K634" i="20"/>
  <c r="L98" i="21"/>
  <c r="L96" i="21" s="1"/>
  <c r="O96" i="21" s="1"/>
  <c r="P144" i="21"/>
  <c r="K189" i="21"/>
  <c r="L254" i="21"/>
  <c r="O254" i="21" s="1"/>
  <c r="K370" i="21"/>
  <c r="K376" i="21"/>
  <c r="K189" i="22"/>
  <c r="K219" i="6"/>
  <c r="O354" i="6"/>
  <c r="O649" i="8"/>
  <c r="O661" i="8"/>
  <c r="M43" i="10"/>
  <c r="M41" i="10" s="1"/>
  <c r="N55" i="12"/>
  <c r="N53" i="12" s="1"/>
  <c r="L333" i="12"/>
  <c r="O333" i="12" s="1"/>
  <c r="K422" i="12"/>
  <c r="K428" i="12"/>
  <c r="K482" i="12"/>
  <c r="K416" i="13"/>
  <c r="K422" i="13"/>
  <c r="K428" i="13"/>
  <c r="K473" i="13"/>
  <c r="N331" i="14"/>
  <c r="P331" i="14" s="1"/>
  <c r="N43" i="15"/>
  <c r="N120" i="15"/>
  <c r="N118" i="15" s="1"/>
  <c r="K418" i="16"/>
  <c r="K426" i="16"/>
  <c r="K597" i="17"/>
  <c r="K82" i="18"/>
  <c r="K597" i="18"/>
  <c r="K621" i="18"/>
  <c r="L34" i="19"/>
  <c r="O597" i="19"/>
  <c r="N222" i="20"/>
  <c r="N220" i="20" s="1"/>
  <c r="K229" i="20"/>
  <c r="K235" i="20"/>
  <c r="N120" i="21"/>
  <c r="N118" i="21" s="1"/>
  <c r="N55" i="22"/>
  <c r="N53" i="22" s="1"/>
  <c r="N273" i="22"/>
  <c r="N271" i="22" s="1"/>
  <c r="K349" i="22"/>
  <c r="O354" i="22"/>
  <c r="K416" i="22"/>
  <c r="K628" i="22"/>
  <c r="K631" i="22"/>
  <c r="L275" i="7"/>
  <c r="L273" i="7" s="1"/>
  <c r="K328" i="7"/>
  <c r="K345" i="7"/>
  <c r="J651" i="7"/>
  <c r="L122" i="8"/>
  <c r="O122" i="8" s="1"/>
  <c r="K219" i="10"/>
  <c r="N31" i="10"/>
  <c r="N29" i="10" s="1"/>
  <c r="N34" i="10"/>
  <c r="N14" i="10" s="1"/>
  <c r="J651" i="10"/>
  <c r="K651" i="10" s="1"/>
  <c r="N292" i="11"/>
  <c r="J651" i="11"/>
  <c r="L224" i="12"/>
  <c r="O224" i="12" s="1"/>
  <c r="O349" i="12"/>
  <c r="K396" i="12"/>
  <c r="J671" i="12"/>
  <c r="K671" i="12" s="1"/>
  <c r="P45" i="15"/>
  <c r="L98" i="15"/>
  <c r="O98" i="15" s="1"/>
  <c r="K381" i="15"/>
  <c r="K396" i="15"/>
  <c r="K419" i="15"/>
  <c r="K422" i="15"/>
  <c r="K425" i="15"/>
  <c r="K428" i="15"/>
  <c r="K431" i="15"/>
  <c r="O437" i="15"/>
  <c r="K455" i="15"/>
  <c r="K149" i="16"/>
  <c r="K229" i="16"/>
  <c r="O439" i="16"/>
  <c r="K547" i="16"/>
  <c r="J671" i="16"/>
  <c r="L45" i="17"/>
  <c r="O45" i="17" s="1"/>
  <c r="K215" i="18"/>
  <c r="N312" i="18"/>
  <c r="K189" i="19"/>
  <c r="K199" i="19"/>
  <c r="K264" i="19"/>
  <c r="K267" i="19"/>
  <c r="O437" i="19"/>
  <c r="O533" i="19"/>
  <c r="O401" i="20"/>
  <c r="K249" i="21"/>
  <c r="K266" i="21"/>
  <c r="K573" i="21"/>
  <c r="O582" i="21"/>
  <c r="J671" i="21"/>
  <c r="P224" i="6"/>
  <c r="O435" i="6"/>
  <c r="O49" i="7"/>
  <c r="P254" i="8"/>
  <c r="O347" i="8"/>
  <c r="L70" i="9"/>
  <c r="O70" i="9" s="1"/>
  <c r="L333" i="9"/>
  <c r="O333" i="9" s="1"/>
  <c r="K613" i="10"/>
  <c r="N68" i="11"/>
  <c r="N66" i="11" s="1"/>
  <c r="K619" i="11"/>
  <c r="K449" i="12"/>
  <c r="K466" i="12"/>
  <c r="K665" i="12"/>
  <c r="O435" i="13"/>
  <c r="K663" i="13"/>
  <c r="K199" i="17"/>
  <c r="P57" i="19"/>
  <c r="O580" i="21"/>
  <c r="L275" i="22"/>
  <c r="O275" i="22" s="1"/>
  <c r="K629" i="22"/>
  <c r="K632" i="22"/>
  <c r="K635" i="22"/>
  <c r="L224" i="6"/>
  <c r="L222" i="6" s="1"/>
  <c r="L220" i="6" s="1"/>
  <c r="K249" i="6"/>
  <c r="K265" i="6"/>
  <c r="L275" i="6"/>
  <c r="O275" i="6" s="1"/>
  <c r="O439" i="6"/>
  <c r="K450" i="6"/>
  <c r="K473" i="6"/>
  <c r="K219" i="7"/>
  <c r="K229" i="7"/>
  <c r="K235" i="7"/>
  <c r="L333" i="7"/>
  <c r="O333" i="7" s="1"/>
  <c r="K340" i="7"/>
  <c r="K199" i="8"/>
  <c r="L254" i="8"/>
  <c r="K416" i="8"/>
  <c r="K419" i="8"/>
  <c r="K422" i="8"/>
  <c r="K425" i="8"/>
  <c r="K428" i="8"/>
  <c r="K431" i="8"/>
  <c r="K451" i="8"/>
  <c r="K421" i="9"/>
  <c r="K427" i="9"/>
  <c r="K450" i="9"/>
  <c r="K564" i="9"/>
  <c r="O566" i="9"/>
  <c r="K628" i="9"/>
  <c r="K631" i="9"/>
  <c r="K634" i="9"/>
  <c r="K216" i="10"/>
  <c r="L254" i="10"/>
  <c r="O254" i="10" s="1"/>
  <c r="K611" i="10"/>
  <c r="O661" i="10"/>
  <c r="K328" i="11"/>
  <c r="K341" i="11"/>
  <c r="O347" i="11"/>
  <c r="N68" i="12"/>
  <c r="N66" i="12" s="1"/>
  <c r="L122" i="12"/>
  <c r="K564" i="12"/>
  <c r="K632" i="12"/>
  <c r="K635" i="12"/>
  <c r="K88" i="13"/>
  <c r="K421" i="13"/>
  <c r="K427" i="13"/>
  <c r="K547" i="13"/>
  <c r="K158" i="14"/>
  <c r="N312" i="15"/>
  <c r="N310" i="15" s="1"/>
  <c r="N43" i="16"/>
  <c r="N41" i="16" s="1"/>
  <c r="P70" i="16"/>
  <c r="L98" i="16"/>
  <c r="K81" i="17"/>
  <c r="L275" i="17"/>
  <c r="O275" i="17" s="1"/>
  <c r="N292" i="17"/>
  <c r="N290" i="17" s="1"/>
  <c r="K185" i="18"/>
  <c r="K285" i="18"/>
  <c r="P333" i="18"/>
  <c r="K425" i="18"/>
  <c r="K455" i="18"/>
  <c r="O564" i="18"/>
  <c r="K635" i="18"/>
  <c r="L57" i="19"/>
  <c r="O57" i="19" s="1"/>
  <c r="O435" i="19"/>
  <c r="O665" i="20"/>
  <c r="L314" i="21"/>
  <c r="O314" i="21" s="1"/>
  <c r="K345" i="21"/>
  <c r="K372" i="21"/>
  <c r="L45" i="22"/>
  <c r="L43" i="22" s="1"/>
  <c r="L144" i="22"/>
  <c r="K428" i="22"/>
  <c r="N405" i="1"/>
  <c r="J494" i="1"/>
  <c r="I215" i="1"/>
  <c r="J113" i="1"/>
  <c r="N355" i="1"/>
  <c r="J362" i="1"/>
  <c r="K370" i="2"/>
  <c r="J575" i="1"/>
  <c r="I671" i="1"/>
  <c r="N102" i="1"/>
  <c r="K173" i="3"/>
  <c r="J550" i="1"/>
  <c r="O661" i="3"/>
  <c r="K424" i="5"/>
  <c r="M70" i="1"/>
  <c r="I111" i="1"/>
  <c r="N122" i="1"/>
  <c r="J416" i="1"/>
  <c r="I486" i="1"/>
  <c r="K486" i="1" s="1"/>
  <c r="I494" i="1"/>
  <c r="K494" i="1" s="1"/>
  <c r="I506" i="1"/>
  <c r="K506" i="1" s="1"/>
  <c r="L649" i="1"/>
  <c r="I668" i="1"/>
  <c r="L59" i="1"/>
  <c r="L72" i="1"/>
  <c r="J82" i="1"/>
  <c r="J88" i="1"/>
  <c r="K93" i="2"/>
  <c r="P102" i="2"/>
  <c r="K108" i="2"/>
  <c r="K111" i="2"/>
  <c r="L122" i="2"/>
  <c r="L120" i="2" s="1"/>
  <c r="N228" i="1"/>
  <c r="O380" i="2"/>
  <c r="K401" i="2"/>
  <c r="O406" i="2"/>
  <c r="K420" i="2"/>
  <c r="K426" i="2"/>
  <c r="K429" i="2"/>
  <c r="N32" i="2"/>
  <c r="N30" i="2" s="1"/>
  <c r="J496" i="1"/>
  <c r="J515" i="1"/>
  <c r="O597" i="2"/>
  <c r="K671" i="2"/>
  <c r="O74" i="3"/>
  <c r="K229" i="3"/>
  <c r="L144" i="4"/>
  <c r="L142" i="4" s="1"/>
  <c r="O406" i="4"/>
  <c r="K215" i="5"/>
  <c r="L314" i="5"/>
  <c r="L312" i="5" s="1"/>
  <c r="O351" i="14"/>
  <c r="L31" i="14"/>
  <c r="L29" i="14" s="1"/>
  <c r="P98" i="17"/>
  <c r="M96" i="17"/>
  <c r="M331" i="12"/>
  <c r="M329" i="12" s="1"/>
  <c r="P333" i="12"/>
  <c r="J363" i="1"/>
  <c r="I475" i="1"/>
  <c r="K475" i="1" s="1"/>
  <c r="I593" i="1"/>
  <c r="J107" i="1"/>
  <c r="J133" i="1"/>
  <c r="K158" i="2"/>
  <c r="N580" i="1"/>
  <c r="P45" i="4"/>
  <c r="P45" i="5"/>
  <c r="K421" i="5"/>
  <c r="N70" i="1"/>
  <c r="L148" i="1"/>
  <c r="O148" i="1" s="1"/>
  <c r="J65" i="1"/>
  <c r="J284" i="1"/>
  <c r="J289" i="1"/>
  <c r="N312" i="2"/>
  <c r="N310" i="2" s="1"/>
  <c r="J326" i="1"/>
  <c r="J479" i="1"/>
  <c r="O533" i="2"/>
  <c r="K547" i="2"/>
  <c r="K596" i="2"/>
  <c r="L598" i="1"/>
  <c r="O598" i="1" s="1"/>
  <c r="L26" i="3"/>
  <c r="L16" i="3" s="1"/>
  <c r="K138" i="3"/>
  <c r="K285" i="3"/>
  <c r="N312" i="3"/>
  <c r="N310" i="3" s="1"/>
  <c r="K340" i="3"/>
  <c r="K343" i="3"/>
  <c r="K427" i="3"/>
  <c r="K481" i="3"/>
  <c r="K597" i="3"/>
  <c r="O599" i="3"/>
  <c r="K663" i="3"/>
  <c r="K229" i="4"/>
  <c r="K235" i="4"/>
  <c r="K368" i="4"/>
  <c r="K418" i="4"/>
  <c r="K421" i="4"/>
  <c r="K424" i="4"/>
  <c r="K427" i="4"/>
  <c r="K430" i="4"/>
  <c r="O439" i="4"/>
  <c r="K449" i="4"/>
  <c r="K481" i="4"/>
  <c r="K533" i="4"/>
  <c r="O535" i="4"/>
  <c r="O599" i="4"/>
  <c r="K624" i="4"/>
  <c r="K649" i="4"/>
  <c r="K132" i="5"/>
  <c r="K138" i="5"/>
  <c r="K397" i="5"/>
  <c r="K401" i="5"/>
  <c r="O580" i="5"/>
  <c r="K368" i="10"/>
  <c r="J400" i="1"/>
  <c r="J93" i="1"/>
  <c r="J110" i="1"/>
  <c r="J194" i="1"/>
  <c r="K428" i="2"/>
  <c r="I465" i="1"/>
  <c r="N570" i="1"/>
  <c r="N588" i="1"/>
  <c r="J234" i="1"/>
  <c r="K465" i="3"/>
  <c r="K474" i="3"/>
  <c r="K499" i="3"/>
  <c r="K451" i="4"/>
  <c r="K498" i="5"/>
  <c r="J593" i="1"/>
  <c r="I266" i="1"/>
  <c r="I344" i="1"/>
  <c r="K344" i="1" s="1"/>
  <c r="L383" i="1"/>
  <c r="I418" i="1"/>
  <c r="K418" i="1" s="1"/>
  <c r="L437" i="1"/>
  <c r="I469" i="1"/>
  <c r="K469" i="1" s="1"/>
  <c r="I487" i="1"/>
  <c r="K487" i="1" s="1"/>
  <c r="I589" i="1"/>
  <c r="L650" i="1"/>
  <c r="N45" i="1"/>
  <c r="M57" i="1"/>
  <c r="M55" i="1" s="1"/>
  <c r="M53" i="1" s="1"/>
  <c r="I82" i="1"/>
  <c r="J173" i="1"/>
  <c r="L318" i="1"/>
  <c r="O318" i="1" s="1"/>
  <c r="L337" i="1"/>
  <c r="L384" i="1"/>
  <c r="O384" i="1" s="1"/>
  <c r="I398" i="1"/>
  <c r="I478" i="1"/>
  <c r="K478" i="1" s="1"/>
  <c r="I590" i="1"/>
  <c r="K590" i="1" s="1"/>
  <c r="J90" i="1"/>
  <c r="P98" i="2"/>
  <c r="K138" i="2"/>
  <c r="J301" i="1"/>
  <c r="L314" i="2"/>
  <c r="O314" i="2" s="1"/>
  <c r="N358" i="1"/>
  <c r="K372" i="2"/>
  <c r="N401" i="1"/>
  <c r="K421" i="2"/>
  <c r="K424" i="2"/>
  <c r="K427" i="2"/>
  <c r="N443" i="1"/>
  <c r="K449" i="2"/>
  <c r="J485" i="1"/>
  <c r="J488" i="1"/>
  <c r="J491" i="1"/>
  <c r="J503" i="1"/>
  <c r="O568" i="2"/>
  <c r="K573" i="2"/>
  <c r="N585" i="1"/>
  <c r="K597" i="2"/>
  <c r="K176" i="3"/>
  <c r="K185" i="3"/>
  <c r="K199" i="3"/>
  <c r="L224" i="3"/>
  <c r="O224" i="3" s="1"/>
  <c r="K419" i="3"/>
  <c r="P222" i="8"/>
  <c r="M220" i="8"/>
  <c r="P220" i="8" s="1"/>
  <c r="M292" i="8"/>
  <c r="P292" i="8" s="1"/>
  <c r="P294" i="8"/>
  <c r="P314" i="9"/>
  <c r="M312" i="9"/>
  <c r="M310" i="9" s="1"/>
  <c r="P310" i="9" s="1"/>
  <c r="P314" i="14"/>
  <c r="M312" i="14"/>
  <c r="P312" i="14" s="1"/>
  <c r="N352" i="1"/>
  <c r="J85" i="1"/>
  <c r="I204" i="1"/>
  <c r="I373" i="1"/>
  <c r="K373" i="1" s="1"/>
  <c r="L98" i="2"/>
  <c r="O98" i="2" s="1"/>
  <c r="J129" i="1"/>
  <c r="J181" i="1"/>
  <c r="J367" i="1"/>
  <c r="K376" i="2"/>
  <c r="K113" i="4"/>
  <c r="K370" i="4"/>
  <c r="J513" i="1"/>
  <c r="I108" i="1"/>
  <c r="I117" i="1"/>
  <c r="I267" i="1"/>
  <c r="I339" i="1"/>
  <c r="K339" i="1" s="1"/>
  <c r="I349" i="1"/>
  <c r="L380" i="1"/>
  <c r="J499" i="1"/>
  <c r="N126" i="1"/>
  <c r="K189" i="2"/>
  <c r="K199" i="2"/>
  <c r="N273" i="2"/>
  <c r="J399" i="1"/>
  <c r="J433" i="1"/>
  <c r="O459" i="2"/>
  <c r="K464" i="2"/>
  <c r="K498" i="2"/>
  <c r="O551" i="2"/>
  <c r="N565" i="1"/>
  <c r="K158" i="3"/>
  <c r="K380" i="3"/>
  <c r="K425" i="3"/>
  <c r="J454" i="1"/>
  <c r="K498" i="3"/>
  <c r="O597" i="3"/>
  <c r="P70" i="4"/>
  <c r="N96" i="4"/>
  <c r="N94" i="4" s="1"/>
  <c r="K109" i="4"/>
  <c r="L224" i="4"/>
  <c r="O224" i="4" s="1"/>
  <c r="K249" i="4"/>
  <c r="O352" i="4"/>
  <c r="K372" i="4"/>
  <c r="K499" i="4"/>
  <c r="K616" i="4"/>
  <c r="K635" i="4"/>
  <c r="J651" i="4"/>
  <c r="K651" i="4" s="1"/>
  <c r="O671" i="4"/>
  <c r="J671" i="4"/>
  <c r="K671" i="4" s="1"/>
  <c r="K164" i="5"/>
  <c r="K429" i="5"/>
  <c r="K474" i="5"/>
  <c r="K285" i="10"/>
  <c r="K149" i="6"/>
  <c r="K597" i="6"/>
  <c r="K634" i="6"/>
  <c r="N120" i="7"/>
  <c r="N118" i="7" s="1"/>
  <c r="K186" i="7"/>
  <c r="P224" i="8"/>
  <c r="O404" i="8"/>
  <c r="O537" i="8"/>
  <c r="K597" i="8"/>
  <c r="O599" i="8"/>
  <c r="N120" i="9"/>
  <c r="N118" i="9" s="1"/>
  <c r="K138" i="9"/>
  <c r="L294" i="10"/>
  <c r="L292" i="10" s="1"/>
  <c r="L314" i="10"/>
  <c r="L312" i="10" s="1"/>
  <c r="O312" i="10" s="1"/>
  <c r="O537" i="10"/>
  <c r="O601" i="10"/>
  <c r="K634" i="10"/>
  <c r="O599" i="11"/>
  <c r="K113" i="12"/>
  <c r="O354" i="12"/>
  <c r="K381" i="12"/>
  <c r="O404" i="12"/>
  <c r="K547" i="12"/>
  <c r="O580" i="12"/>
  <c r="L98" i="13"/>
  <c r="O98" i="13" s="1"/>
  <c r="L224" i="13"/>
  <c r="O224" i="13" s="1"/>
  <c r="K455" i="13"/>
  <c r="K573" i="13"/>
  <c r="N96" i="14"/>
  <c r="N94" i="14" s="1"/>
  <c r="K219" i="14"/>
  <c r="N312" i="14"/>
  <c r="N310" i="14" s="1"/>
  <c r="N31" i="14"/>
  <c r="N29" i="14" s="1"/>
  <c r="O568" i="14"/>
  <c r="K573" i="14"/>
  <c r="O580" i="15"/>
  <c r="K629" i="15"/>
  <c r="N55" i="16"/>
  <c r="N53" i="16" s="1"/>
  <c r="L70" i="16"/>
  <c r="O70" i="16" s="1"/>
  <c r="L122" i="16"/>
  <c r="O122" i="16" s="1"/>
  <c r="K285" i="16"/>
  <c r="L294" i="16"/>
  <c r="O294" i="16" s="1"/>
  <c r="J651" i="16"/>
  <c r="L31" i="19"/>
  <c r="L29" i="19" s="1"/>
  <c r="O29" i="19" s="1"/>
  <c r="K270" i="19"/>
  <c r="J285" i="1"/>
  <c r="N661" i="1"/>
  <c r="N671" i="1"/>
  <c r="J560" i="1"/>
  <c r="N567" i="1"/>
  <c r="N572" i="1"/>
  <c r="J576" i="1"/>
  <c r="K597" i="5"/>
  <c r="L144" i="6"/>
  <c r="L142" i="6" s="1"/>
  <c r="L140" i="6" s="1"/>
  <c r="O352" i="6"/>
  <c r="L122" i="7"/>
  <c r="L120" i="7" s="1"/>
  <c r="K343" i="7"/>
  <c r="N32" i="7"/>
  <c r="N30" i="7" s="1"/>
  <c r="K618" i="7"/>
  <c r="N55" i="8"/>
  <c r="N53" i="8" s="1"/>
  <c r="L224" i="8"/>
  <c r="L222" i="8" s="1"/>
  <c r="N312" i="8"/>
  <c r="N310" i="8" s="1"/>
  <c r="K375" i="8"/>
  <c r="K381" i="8"/>
  <c r="N43" i="9"/>
  <c r="N41" i="9" s="1"/>
  <c r="N273" i="9"/>
  <c r="N271" i="9" s="1"/>
  <c r="N252" i="10"/>
  <c r="N250" i="10" s="1"/>
  <c r="L254" i="11"/>
  <c r="O254" i="11" s="1"/>
  <c r="K564" i="11"/>
  <c r="J162" i="1"/>
  <c r="J171" i="1"/>
  <c r="J202" i="1"/>
  <c r="J211" i="1"/>
  <c r="J339" i="1"/>
  <c r="N409" i="1"/>
  <c r="I425" i="1"/>
  <c r="I435" i="1"/>
  <c r="J446" i="1"/>
  <c r="J453" i="1"/>
  <c r="I464" i="1"/>
  <c r="K464" i="1" s="1"/>
  <c r="J469" i="1"/>
  <c r="J594" i="1"/>
  <c r="J597" i="1"/>
  <c r="J610" i="1"/>
  <c r="J613" i="1"/>
  <c r="J619" i="1"/>
  <c r="J77" i="1"/>
  <c r="L102" i="1"/>
  <c r="J482" i="1"/>
  <c r="J580" i="1"/>
  <c r="N582" i="1"/>
  <c r="N43" i="14"/>
  <c r="N41" i="14" s="1"/>
  <c r="N98" i="1"/>
  <c r="J300" i="1"/>
  <c r="J656" i="1"/>
  <c r="J104" i="1"/>
  <c r="J245" i="1"/>
  <c r="J667" i="1"/>
  <c r="J669" i="1"/>
  <c r="N74" i="1"/>
  <c r="J80" i="1"/>
  <c r="K482" i="6"/>
  <c r="K611" i="6"/>
  <c r="N96" i="7"/>
  <c r="N94" i="7" s="1"/>
  <c r="K499" i="7"/>
  <c r="L224" i="9"/>
  <c r="L222" i="9" s="1"/>
  <c r="L57" i="10"/>
  <c r="L55" i="10" s="1"/>
  <c r="K189" i="10"/>
  <c r="K199" i="10"/>
  <c r="K372" i="10"/>
  <c r="K375" i="10"/>
  <c r="K381" i="10"/>
  <c r="K533" i="10"/>
  <c r="K617" i="10"/>
  <c r="K370" i="12"/>
  <c r="O385" i="12"/>
  <c r="N33" i="12"/>
  <c r="N13" i="12" s="1"/>
  <c r="K615" i="12"/>
  <c r="L23" i="13"/>
  <c r="O23" i="13" s="1"/>
  <c r="P333" i="13"/>
  <c r="K199" i="14"/>
  <c r="O457" i="14"/>
  <c r="N68" i="15"/>
  <c r="N66" i="15" s="1"/>
  <c r="N142" i="15"/>
  <c r="N140" i="15" s="1"/>
  <c r="K265" i="15"/>
  <c r="K285" i="15"/>
  <c r="N292" i="15"/>
  <c r="N290" i="15" s="1"/>
  <c r="K612" i="15"/>
  <c r="N644" i="15"/>
  <c r="N640" i="15" s="1"/>
  <c r="N638" i="15" s="1"/>
  <c r="N636" i="15" s="1"/>
  <c r="J651" i="15"/>
  <c r="K158" i="16"/>
  <c r="K422" i="16"/>
  <c r="K425" i="16"/>
  <c r="K428" i="16"/>
  <c r="K149" i="17"/>
  <c r="O582" i="5"/>
  <c r="N68" i="6"/>
  <c r="N66" i="6" s="1"/>
  <c r="N273" i="6"/>
  <c r="N271" i="6" s="1"/>
  <c r="K350" i="6"/>
  <c r="K427" i="6"/>
  <c r="K189" i="7"/>
  <c r="K199" i="7"/>
  <c r="K341" i="7"/>
  <c r="O404" i="7"/>
  <c r="K421" i="7"/>
  <c r="K424" i="7"/>
  <c r="N120" i="8"/>
  <c r="N118" i="8" s="1"/>
  <c r="K376" i="8"/>
  <c r="K547" i="8"/>
  <c r="O668" i="8"/>
  <c r="N252" i="9"/>
  <c r="P122" i="10"/>
  <c r="O349" i="10"/>
  <c r="K630" i="10"/>
  <c r="K633" i="10"/>
  <c r="N120" i="11"/>
  <c r="N118" i="11" s="1"/>
  <c r="M292" i="11"/>
  <c r="P292" i="11" s="1"/>
  <c r="O404" i="11"/>
  <c r="K455" i="12"/>
  <c r="O457" i="12"/>
  <c r="K499" i="12"/>
  <c r="O568" i="12"/>
  <c r="K573" i="12"/>
  <c r="K64" i="13"/>
  <c r="K164" i="13"/>
  <c r="K213" i="13"/>
  <c r="L294" i="13"/>
  <c r="O294" i="13" s="1"/>
  <c r="L333" i="13"/>
  <c r="O333" i="13" s="1"/>
  <c r="O406" i="13"/>
  <c r="K634" i="13"/>
  <c r="L144" i="14"/>
  <c r="L142" i="14" s="1"/>
  <c r="K164" i="14"/>
  <c r="K200" i="14"/>
  <c r="N273" i="14"/>
  <c r="N271" i="14" s="1"/>
  <c r="O347" i="14"/>
  <c r="O380" i="14"/>
  <c r="K398" i="14"/>
  <c r="O401" i="14"/>
  <c r="O455" i="14"/>
  <c r="L45" i="15"/>
  <c r="O45" i="15" s="1"/>
  <c r="P70" i="15"/>
  <c r="K249" i="15"/>
  <c r="N273" i="15"/>
  <c r="N271" i="15" s="1"/>
  <c r="O533" i="15"/>
  <c r="O584" i="15"/>
  <c r="N222" i="16"/>
  <c r="N220" i="16" s="1"/>
  <c r="O380" i="16"/>
  <c r="O385" i="16"/>
  <c r="K573" i="16"/>
  <c r="O601" i="16"/>
  <c r="K628" i="16"/>
  <c r="K631" i="16"/>
  <c r="K634" i="16"/>
  <c r="K83" i="17"/>
  <c r="K265" i="17"/>
  <c r="N584" i="1"/>
  <c r="J589" i="1"/>
  <c r="L124" i="1"/>
  <c r="N569" i="1"/>
  <c r="J424" i="1"/>
  <c r="L70" i="6"/>
  <c r="L68" i="6" s="1"/>
  <c r="K138" i="6"/>
  <c r="K199" i="6"/>
  <c r="K229" i="6"/>
  <c r="L294" i="6"/>
  <c r="O294" i="6" s="1"/>
  <c r="K328" i="6"/>
  <c r="K396" i="6"/>
  <c r="K402" i="6"/>
  <c r="K425" i="6"/>
  <c r="K474" i="6"/>
  <c r="K497" i="6"/>
  <c r="K623" i="6"/>
  <c r="N68" i="7"/>
  <c r="N66" i="7" s="1"/>
  <c r="K149" i="7"/>
  <c r="L314" i="7"/>
  <c r="K381" i="7"/>
  <c r="K396" i="7"/>
  <c r="O439" i="7"/>
  <c r="K497" i="7"/>
  <c r="K628" i="7"/>
  <c r="K631" i="7"/>
  <c r="L45" i="8"/>
  <c r="O45" i="8" s="1"/>
  <c r="K173" i="8"/>
  <c r="L275" i="8"/>
  <c r="L273" i="8" s="1"/>
  <c r="L333" i="8"/>
  <c r="O333" i="8" s="1"/>
  <c r="O349" i="8"/>
  <c r="K417" i="8"/>
  <c r="K420" i="8"/>
  <c r="K423" i="8"/>
  <c r="K449" i="8"/>
  <c r="K623" i="8"/>
  <c r="L275" i="9"/>
  <c r="O275" i="9" s="1"/>
  <c r="K422" i="9"/>
  <c r="K428" i="9"/>
  <c r="N142" i="10"/>
  <c r="N140" i="10" s="1"/>
  <c r="K158" i="10"/>
  <c r="K419" i="10"/>
  <c r="K425" i="10"/>
  <c r="O437" i="10"/>
  <c r="O597" i="10"/>
  <c r="K623" i="10"/>
  <c r="L45" i="11"/>
  <c r="O45" i="11" s="1"/>
  <c r="P122" i="11"/>
  <c r="K345" i="11"/>
  <c r="K416" i="11"/>
  <c r="K422" i="11"/>
  <c r="K425" i="11"/>
  <c r="K428" i="11"/>
  <c r="K474" i="11"/>
  <c r="K498" i="11"/>
  <c r="K547" i="11"/>
  <c r="K249" i="12"/>
  <c r="K343" i="12"/>
  <c r="K349" i="12"/>
  <c r="K377" i="12"/>
  <c r="K474" i="12"/>
  <c r="K580" i="12"/>
  <c r="K593" i="12"/>
  <c r="K649" i="12"/>
  <c r="K80" i="13"/>
  <c r="K86" i="13"/>
  <c r="L144" i="13"/>
  <c r="L142" i="13" s="1"/>
  <c r="N34" i="13"/>
  <c r="N14" i="13" s="1"/>
  <c r="K435" i="13"/>
  <c r="O439" i="13"/>
  <c r="O535" i="13"/>
  <c r="O564" i="13"/>
  <c r="K668" i="13"/>
  <c r="O49" i="14"/>
  <c r="L70" i="14"/>
  <c r="O70" i="14" s="1"/>
  <c r="L122" i="14"/>
  <c r="P333" i="14"/>
  <c r="K466" i="14"/>
  <c r="K481" i="14"/>
  <c r="K499" i="14"/>
  <c r="O564" i="14"/>
  <c r="N644" i="14"/>
  <c r="N640" i="14" s="1"/>
  <c r="N638" i="14" s="1"/>
  <c r="N636" i="14" s="1"/>
  <c r="O671" i="14"/>
  <c r="O582" i="15"/>
  <c r="O601" i="15"/>
  <c r="K631" i="15"/>
  <c r="O455" i="16"/>
  <c r="K200" i="17"/>
  <c r="K369" i="17"/>
  <c r="I367" i="17"/>
  <c r="K367" i="17" s="1"/>
  <c r="L601" i="1"/>
  <c r="J607" i="1"/>
  <c r="I621" i="1"/>
  <c r="J217" i="1"/>
  <c r="I367" i="19"/>
  <c r="K367" i="19" s="1"/>
  <c r="K371" i="19"/>
  <c r="O351" i="21"/>
  <c r="L31" i="21"/>
  <c r="L11" i="21" s="1"/>
  <c r="J417" i="1"/>
  <c r="O564" i="16"/>
  <c r="K85" i="17"/>
  <c r="K64" i="18"/>
  <c r="L70" i="18"/>
  <c r="L68" i="18" s="1"/>
  <c r="K88" i="18"/>
  <c r="K186" i="18"/>
  <c r="L254" i="18"/>
  <c r="O582" i="18"/>
  <c r="K593" i="18"/>
  <c r="N142" i="19"/>
  <c r="N140" i="19" s="1"/>
  <c r="N273" i="19"/>
  <c r="N271" i="19" s="1"/>
  <c r="K617" i="19"/>
  <c r="L45" i="20"/>
  <c r="L57" i="20"/>
  <c r="L55" i="20" s="1"/>
  <c r="L224" i="20"/>
  <c r="L222" i="20" s="1"/>
  <c r="K424" i="20"/>
  <c r="K430" i="20"/>
  <c r="O566" i="20"/>
  <c r="K117" i="21"/>
  <c r="K132" i="21"/>
  <c r="K328" i="21"/>
  <c r="K450" i="21"/>
  <c r="K473" i="21"/>
  <c r="K498" i="21"/>
  <c r="O535" i="21"/>
  <c r="N43" i="22"/>
  <c r="N41" i="22" s="1"/>
  <c r="K270" i="17"/>
  <c r="L333" i="17"/>
  <c r="L331" i="17" s="1"/>
  <c r="K340" i="17"/>
  <c r="K343" i="17"/>
  <c r="O349" i="17"/>
  <c r="O352" i="17"/>
  <c r="K401" i="17"/>
  <c r="O406" i="17"/>
  <c r="K420" i="17"/>
  <c r="K426" i="17"/>
  <c r="K432" i="17"/>
  <c r="J671" i="17"/>
  <c r="K671" i="17" s="1"/>
  <c r="L122" i="18"/>
  <c r="L120" i="18" s="1"/>
  <c r="L314" i="18"/>
  <c r="K426" i="18"/>
  <c r="O455" i="18"/>
  <c r="O537" i="18"/>
  <c r="L122" i="19"/>
  <c r="O122" i="19" s="1"/>
  <c r="N312" i="19"/>
  <c r="N310" i="19" s="1"/>
  <c r="K612" i="19"/>
  <c r="N96" i="20"/>
  <c r="N94" i="20" s="1"/>
  <c r="K633" i="20"/>
  <c r="O661" i="20"/>
  <c r="L333" i="21"/>
  <c r="L331" i="21" s="1"/>
  <c r="L329" i="21" s="1"/>
  <c r="N312" i="22"/>
  <c r="N310" i="22" s="1"/>
  <c r="M292" i="20"/>
  <c r="P292" i="20" s="1"/>
  <c r="K416" i="20"/>
  <c r="K533" i="20"/>
  <c r="N31" i="20"/>
  <c r="O564" i="20"/>
  <c r="J651" i="20"/>
  <c r="O533" i="21"/>
  <c r="K618" i="21"/>
  <c r="N120" i="22"/>
  <c r="N118" i="22" s="1"/>
  <c r="N32" i="22"/>
  <c r="N30" i="22" s="1"/>
  <c r="K200" i="16"/>
  <c r="L275" i="16"/>
  <c r="L273" i="16" s="1"/>
  <c r="L271" i="16" s="1"/>
  <c r="N292" i="16"/>
  <c r="N290" i="16" s="1"/>
  <c r="K328" i="16"/>
  <c r="K345" i="16"/>
  <c r="K429" i="16"/>
  <c r="K432" i="16"/>
  <c r="K629" i="16"/>
  <c r="K632" i="16"/>
  <c r="K635" i="16"/>
  <c r="K648" i="16"/>
  <c r="L144" i="17"/>
  <c r="O144" i="17" s="1"/>
  <c r="K229" i="17"/>
  <c r="N252" i="17"/>
  <c r="N250" i="17" s="1"/>
  <c r="K267" i="17"/>
  <c r="L314" i="17"/>
  <c r="L312" i="17" s="1"/>
  <c r="K398" i="17"/>
  <c r="O401" i="17"/>
  <c r="O404" i="17"/>
  <c r="O564" i="17"/>
  <c r="O597" i="17"/>
  <c r="K630" i="17"/>
  <c r="K633" i="17"/>
  <c r="O671" i="17"/>
  <c r="P70" i="18"/>
  <c r="K189" i="18"/>
  <c r="K199" i="18"/>
  <c r="K216" i="18"/>
  <c r="N33" i="18"/>
  <c r="N13" i="18" s="1"/>
  <c r="K396" i="18"/>
  <c r="K419" i="18"/>
  <c r="K427" i="18"/>
  <c r="K533" i="18"/>
  <c r="O535" i="18"/>
  <c r="N32" i="18"/>
  <c r="N30" i="18" s="1"/>
  <c r="K93" i="19"/>
  <c r="K201" i="19"/>
  <c r="K370" i="19"/>
  <c r="K398" i="19"/>
  <c r="K424" i="19"/>
  <c r="K430" i="19"/>
  <c r="N31" i="19"/>
  <c r="N29" i="19" s="1"/>
  <c r="O459" i="19"/>
  <c r="O564" i="19"/>
  <c r="K665" i="19"/>
  <c r="N292" i="20"/>
  <c r="N290" i="20" s="1"/>
  <c r="O437" i="20"/>
  <c r="O533" i="20"/>
  <c r="O568" i="20"/>
  <c r="K133" i="21"/>
  <c r="L144" i="21"/>
  <c r="L142" i="21" s="1"/>
  <c r="L140" i="21" s="1"/>
  <c r="K200" i="21"/>
  <c r="K219" i="21"/>
  <c r="O347" i="21"/>
  <c r="K350" i="21"/>
  <c r="O651" i="21"/>
  <c r="P57" i="22"/>
  <c r="P98" i="22"/>
  <c r="N142" i="22"/>
  <c r="N140" i="22" s="1"/>
  <c r="K429" i="22"/>
  <c r="L224" i="17"/>
  <c r="O224" i="17" s="1"/>
  <c r="K573" i="17"/>
  <c r="K149" i="18"/>
  <c r="K158" i="18"/>
  <c r="P314" i="18"/>
  <c r="N31" i="18"/>
  <c r="K435" i="18"/>
  <c r="K628" i="18"/>
  <c r="K631" i="18"/>
  <c r="K229" i="19"/>
  <c r="K235" i="19"/>
  <c r="L314" i="19"/>
  <c r="K328" i="19"/>
  <c r="K341" i="19"/>
  <c r="K368" i="19"/>
  <c r="K425" i="19"/>
  <c r="K455" i="19"/>
  <c r="K465" i="19"/>
  <c r="L254" i="20"/>
  <c r="O254" i="20" s="1"/>
  <c r="O380" i="21"/>
  <c r="K398" i="21"/>
  <c r="O455" i="21"/>
  <c r="K466" i="21"/>
  <c r="K497" i="21"/>
  <c r="O537" i="21"/>
  <c r="K593" i="21"/>
  <c r="K631" i="21"/>
  <c r="K663" i="21"/>
  <c r="K375" i="22"/>
  <c r="O439" i="22"/>
  <c r="O535" i="22"/>
  <c r="P254" i="4"/>
  <c r="M252" i="4"/>
  <c r="M250" i="4" s="1"/>
  <c r="M292" i="13"/>
  <c r="P292" i="13" s="1"/>
  <c r="P294" i="13"/>
  <c r="J376" i="1"/>
  <c r="I422" i="1"/>
  <c r="I428" i="1"/>
  <c r="I513" i="1"/>
  <c r="K513" i="1" s="1"/>
  <c r="L553" i="1"/>
  <c r="I575" i="1"/>
  <c r="K575" i="1" s="1"/>
  <c r="N599" i="1"/>
  <c r="I628" i="1"/>
  <c r="P294" i="6"/>
  <c r="M292" i="6"/>
  <c r="P292" i="6" s="1"/>
  <c r="O337" i="11"/>
  <c r="M337" i="11"/>
  <c r="P337" i="11" s="1"/>
  <c r="L74" i="1"/>
  <c r="I200" i="1"/>
  <c r="J235" i="1"/>
  <c r="L352" i="1"/>
  <c r="L405" i="1"/>
  <c r="O405" i="1" s="1"/>
  <c r="J428" i="1"/>
  <c r="I468" i="1"/>
  <c r="K468" i="1" s="1"/>
  <c r="I501" i="1"/>
  <c r="K501" i="1" s="1"/>
  <c r="I508" i="1"/>
  <c r="K508" i="1" s="1"/>
  <c r="L580" i="1"/>
  <c r="I651" i="1"/>
  <c r="N564" i="1"/>
  <c r="K64" i="3"/>
  <c r="L254" i="3"/>
  <c r="O254" i="3" s="1"/>
  <c r="K421" i="3"/>
  <c r="K435" i="5"/>
  <c r="K626" i="5"/>
  <c r="K621" i="5"/>
  <c r="K623" i="5"/>
  <c r="K625" i="5"/>
  <c r="I88" i="1"/>
  <c r="M98" i="1"/>
  <c r="I185" i="1"/>
  <c r="I216" i="1"/>
  <c r="I270" i="1"/>
  <c r="M294" i="1"/>
  <c r="N459" i="1"/>
  <c r="I484" i="1"/>
  <c r="K484" i="1" s="1"/>
  <c r="I489" i="1"/>
  <c r="K489" i="1" s="1"/>
  <c r="I496" i="1"/>
  <c r="K496" i="1" s="1"/>
  <c r="I502" i="1"/>
  <c r="K502" i="1" s="1"/>
  <c r="I514" i="1"/>
  <c r="K514" i="1" s="1"/>
  <c r="I551" i="1"/>
  <c r="L554" i="1"/>
  <c r="O554" i="1" s="1"/>
  <c r="L648" i="1"/>
  <c r="L651" i="1"/>
  <c r="J81" i="1"/>
  <c r="J322" i="1"/>
  <c r="N279" i="1"/>
  <c r="J652" i="1"/>
  <c r="J659" i="1"/>
  <c r="J666" i="1"/>
  <c r="O456" i="12"/>
  <c r="L31" i="12"/>
  <c r="L11" i="12" s="1"/>
  <c r="L9" i="12" s="1"/>
  <c r="O9" i="12" s="1"/>
  <c r="K369" i="21"/>
  <c r="I367" i="21"/>
  <c r="K367" i="21" s="1"/>
  <c r="I85" i="1"/>
  <c r="J92" i="1"/>
  <c r="N49" i="1"/>
  <c r="N57" i="1"/>
  <c r="I83" i="1"/>
  <c r="I186" i="1"/>
  <c r="J341" i="1"/>
  <c r="J370" i="1"/>
  <c r="I504" i="1"/>
  <c r="K504" i="1" s="1"/>
  <c r="I511" i="1"/>
  <c r="K511" i="1" s="1"/>
  <c r="L551" i="1"/>
  <c r="I578" i="1"/>
  <c r="K578" i="1" s="1"/>
  <c r="J105" i="1"/>
  <c r="J109" i="1"/>
  <c r="K112" i="2"/>
  <c r="J402" i="1"/>
  <c r="O49" i="5"/>
  <c r="M49" i="5"/>
  <c r="M43" i="5" s="1"/>
  <c r="K304" i="5"/>
  <c r="L58" i="1"/>
  <c r="I112" i="1"/>
  <c r="I213" i="1"/>
  <c r="I238" i="1"/>
  <c r="K238" i="1" s="1"/>
  <c r="L276" i="1"/>
  <c r="I342" i="1"/>
  <c r="K342" i="1" s="1"/>
  <c r="I402" i="1"/>
  <c r="I416" i="1"/>
  <c r="I492" i="1"/>
  <c r="K492" i="1" s="1"/>
  <c r="L565" i="1"/>
  <c r="O565" i="1" s="1"/>
  <c r="I650" i="1"/>
  <c r="K110" i="2"/>
  <c r="J509" i="1"/>
  <c r="J470" i="1"/>
  <c r="O566" i="3"/>
  <c r="P275" i="4"/>
  <c r="N273" i="4"/>
  <c r="P273" i="4" s="1"/>
  <c r="K398" i="5"/>
  <c r="N96" i="2"/>
  <c r="N94" i="2" s="1"/>
  <c r="K249" i="2"/>
  <c r="J260" i="1"/>
  <c r="K265" i="2"/>
  <c r="J268" i="1"/>
  <c r="M275" i="1"/>
  <c r="I374" i="1"/>
  <c r="K380" i="2"/>
  <c r="J391" i="1"/>
  <c r="K419" i="2"/>
  <c r="K431" i="2"/>
  <c r="O439" i="2"/>
  <c r="J502" i="1"/>
  <c r="L535" i="1"/>
  <c r="I595" i="1"/>
  <c r="L600" i="1"/>
  <c r="O600" i="1" s="1"/>
  <c r="J111" i="1"/>
  <c r="J115" i="1"/>
  <c r="K164" i="3"/>
  <c r="O385" i="3"/>
  <c r="K424" i="3"/>
  <c r="O437" i="3"/>
  <c r="K455" i="3"/>
  <c r="O457" i="3"/>
  <c r="O533" i="3"/>
  <c r="K629" i="3"/>
  <c r="K635" i="3"/>
  <c r="K219" i="4"/>
  <c r="L275" i="4"/>
  <c r="O275" i="4" s="1"/>
  <c r="K349" i="4"/>
  <c r="K401" i="4"/>
  <c r="K435" i="4"/>
  <c r="K473" i="4"/>
  <c r="O537" i="4"/>
  <c r="K632" i="4"/>
  <c r="K663" i="4"/>
  <c r="K93" i="5"/>
  <c r="K111" i="5"/>
  <c r="L254" i="5"/>
  <c r="L252" i="5" s="1"/>
  <c r="K289" i="5"/>
  <c r="K349" i="5"/>
  <c r="O354" i="5"/>
  <c r="K426" i="5"/>
  <c r="K432" i="5"/>
  <c r="O437" i="5"/>
  <c r="K455" i="5"/>
  <c r="K547" i="5"/>
  <c r="O584" i="5"/>
  <c r="O597" i="5"/>
  <c r="K629" i="5"/>
  <c r="N31" i="11"/>
  <c r="N11" i="11" s="1"/>
  <c r="N9" i="11" s="1"/>
  <c r="J238" i="1"/>
  <c r="M333" i="1"/>
  <c r="J371" i="1"/>
  <c r="J413" i="1"/>
  <c r="J450" i="1"/>
  <c r="J473" i="1"/>
  <c r="J484" i="1"/>
  <c r="J497" i="1"/>
  <c r="J500" i="1"/>
  <c r="J507" i="1"/>
  <c r="N558" i="1"/>
  <c r="J648" i="1"/>
  <c r="K648" i="1" s="1"/>
  <c r="N96" i="3"/>
  <c r="N94" i="3" s="1"/>
  <c r="P254" i="3"/>
  <c r="N331" i="3"/>
  <c r="N329" i="3" s="1"/>
  <c r="K422" i="3"/>
  <c r="K482" i="4"/>
  <c r="O568" i="4"/>
  <c r="K589" i="4"/>
  <c r="O650" i="4"/>
  <c r="N96" i="5"/>
  <c r="N94" i="5" s="1"/>
  <c r="K306" i="5"/>
  <c r="L333" i="5"/>
  <c r="O333" i="5" s="1"/>
  <c r="K380" i="5"/>
  <c r="O385" i="5"/>
  <c r="O435" i="5"/>
  <c r="K482" i="5"/>
  <c r="O537" i="5"/>
  <c r="L57" i="6"/>
  <c r="O57" i="6" s="1"/>
  <c r="P275" i="6"/>
  <c r="M273" i="6"/>
  <c r="K369" i="6"/>
  <c r="I367" i="6"/>
  <c r="K367" i="6" s="1"/>
  <c r="O352" i="8"/>
  <c r="K213" i="10"/>
  <c r="N43" i="12"/>
  <c r="N41" i="12" s="1"/>
  <c r="P41" i="12" s="1"/>
  <c r="P45" i="12"/>
  <c r="I132" i="1"/>
  <c r="J201" i="1"/>
  <c r="J210" i="1"/>
  <c r="J215" i="1"/>
  <c r="K219" i="2"/>
  <c r="K235" i="2"/>
  <c r="J262" i="1"/>
  <c r="K266" i="2"/>
  <c r="K350" i="2"/>
  <c r="N33" i="2"/>
  <c r="N13" i="2" s="1"/>
  <c r="O383" i="2"/>
  <c r="N440" i="1"/>
  <c r="J447" i="1"/>
  <c r="N463" i="1"/>
  <c r="J490" i="1"/>
  <c r="K595" i="2"/>
  <c r="O598" i="2"/>
  <c r="O600" i="2"/>
  <c r="N604" i="1"/>
  <c r="I611" i="1"/>
  <c r="I614" i="1"/>
  <c r="I617" i="1"/>
  <c r="I623" i="1"/>
  <c r="I626" i="1"/>
  <c r="K630" i="2"/>
  <c r="M329" i="3"/>
  <c r="O537" i="3"/>
  <c r="K633" i="3"/>
  <c r="O102" i="4"/>
  <c r="K108" i="4"/>
  <c r="P122" i="4"/>
  <c r="K133" i="4"/>
  <c r="P144" i="4"/>
  <c r="K158" i="4"/>
  <c r="K343" i="4"/>
  <c r="O349" i="4"/>
  <c r="K580" i="4"/>
  <c r="O649" i="4"/>
  <c r="K109" i="5"/>
  <c r="K213" i="5"/>
  <c r="M96" i="6"/>
  <c r="P96" i="6" s="1"/>
  <c r="P98" i="6"/>
  <c r="K113" i="2"/>
  <c r="P122" i="2"/>
  <c r="P294" i="2"/>
  <c r="N292" i="2"/>
  <c r="N290" i="2" s="1"/>
  <c r="K482" i="2"/>
  <c r="J495" i="1"/>
  <c r="J508" i="1"/>
  <c r="O555" i="2"/>
  <c r="J657" i="1"/>
  <c r="O401" i="3"/>
  <c r="K418" i="3"/>
  <c r="K430" i="3"/>
  <c r="L316" i="1"/>
  <c r="J328" i="1"/>
  <c r="N337" i="1"/>
  <c r="J445" i="1"/>
  <c r="N462" i="1"/>
  <c r="I516" i="1"/>
  <c r="I522" i="1"/>
  <c r="I525" i="1"/>
  <c r="I531" i="1"/>
  <c r="L533" i="1"/>
  <c r="N566" i="1"/>
  <c r="J117" i="1"/>
  <c r="N142" i="5"/>
  <c r="N140" i="5" s="1"/>
  <c r="L347" i="1"/>
  <c r="L353" i="1"/>
  <c r="O353" i="1" s="1"/>
  <c r="L32" i="5"/>
  <c r="K427" i="5"/>
  <c r="J430" i="1"/>
  <c r="O455" i="5"/>
  <c r="J592" i="1"/>
  <c r="K350" i="8"/>
  <c r="M142" i="9"/>
  <c r="M140" i="9" s="1"/>
  <c r="P144" i="9"/>
  <c r="P254" i="10"/>
  <c r="M252" i="10"/>
  <c r="J671" i="10"/>
  <c r="K671" i="10" s="1"/>
  <c r="K133" i="2"/>
  <c r="J163" i="1"/>
  <c r="J172" i="1"/>
  <c r="J176" i="1"/>
  <c r="K185" i="2"/>
  <c r="K216" i="2"/>
  <c r="K285" i="2"/>
  <c r="K306" i="2"/>
  <c r="J325" i="1"/>
  <c r="N384" i="1"/>
  <c r="K396" i="2"/>
  <c r="K402" i="2"/>
  <c r="K423" i="2"/>
  <c r="N435" i="1"/>
  <c r="K455" i="2"/>
  <c r="O457" i="2"/>
  <c r="J514" i="1"/>
  <c r="I517" i="1"/>
  <c r="I520" i="1"/>
  <c r="I523" i="1"/>
  <c r="I526" i="1"/>
  <c r="I529" i="1"/>
  <c r="I532" i="1"/>
  <c r="J543" i="1"/>
  <c r="O553" i="2"/>
  <c r="K628" i="2"/>
  <c r="K634" i="2"/>
  <c r="N665" i="1"/>
  <c r="J677" i="1"/>
  <c r="N68" i="3"/>
  <c r="N66" i="3" s="1"/>
  <c r="K270" i="3"/>
  <c r="N34" i="3"/>
  <c r="N14" i="3" s="1"/>
  <c r="K381" i="3"/>
  <c r="K416" i="3"/>
  <c r="K428" i="3"/>
  <c r="O459" i="3"/>
  <c r="K464" i="3"/>
  <c r="K473" i="3"/>
  <c r="O568" i="3"/>
  <c r="O651" i="3"/>
  <c r="P98" i="4"/>
  <c r="K112" i="4"/>
  <c r="K117" i="4"/>
  <c r="K350" i="4"/>
  <c r="K402" i="4"/>
  <c r="N34" i="4"/>
  <c r="N14" i="4" s="1"/>
  <c r="K450" i="4"/>
  <c r="K497" i="4"/>
  <c r="O580" i="4"/>
  <c r="N31" i="4"/>
  <c r="N29" i="4" s="1"/>
  <c r="K628" i="4"/>
  <c r="K631" i="4"/>
  <c r="K634" i="4"/>
  <c r="N644" i="4"/>
  <c r="N640" i="4" s="1"/>
  <c r="N638" i="4" s="1"/>
  <c r="N636" i="4" s="1"/>
  <c r="O665" i="4"/>
  <c r="O668" i="4"/>
  <c r="K113" i="5"/>
  <c r="P144" i="5"/>
  <c r="K158" i="5"/>
  <c r="K422" i="5"/>
  <c r="K464" i="5"/>
  <c r="O564" i="5"/>
  <c r="O599" i="5"/>
  <c r="K631" i="5"/>
  <c r="M312" i="6"/>
  <c r="P312" i="6" s="1"/>
  <c r="P314" i="6"/>
  <c r="K629" i="6"/>
  <c r="N273" i="7"/>
  <c r="N271" i="7" s="1"/>
  <c r="N142" i="9"/>
  <c r="N140" i="9" s="1"/>
  <c r="P120" i="10"/>
  <c r="M118" i="10"/>
  <c r="P118" i="10" s="1"/>
  <c r="M331" i="10"/>
  <c r="M329" i="10" s="1"/>
  <c r="P333" i="10"/>
  <c r="O102" i="12"/>
  <c r="M102" i="12"/>
  <c r="P102" i="12" s="1"/>
  <c r="K285" i="6"/>
  <c r="N312" i="6"/>
  <c r="N310" i="6" s="1"/>
  <c r="J320" i="1"/>
  <c r="J346" i="1"/>
  <c r="O349" i="6"/>
  <c r="K372" i="6"/>
  <c r="N436" i="1"/>
  <c r="N34" i="6"/>
  <c r="N14" i="6" s="1"/>
  <c r="N587" i="1"/>
  <c r="J590" i="1"/>
  <c r="K632" i="6"/>
  <c r="P224" i="7"/>
  <c r="I367" i="7"/>
  <c r="K367" i="7" s="1"/>
  <c r="J452" i="1"/>
  <c r="J465" i="1"/>
  <c r="J468" i="1"/>
  <c r="J471" i="1"/>
  <c r="J474" i="1"/>
  <c r="J477" i="1"/>
  <c r="J486" i="1"/>
  <c r="J489" i="1"/>
  <c r="J492" i="1"/>
  <c r="J498" i="1"/>
  <c r="J501" i="1"/>
  <c r="J516" i="1"/>
  <c r="J519" i="1"/>
  <c r="J522" i="1"/>
  <c r="J525" i="1"/>
  <c r="J528" i="1"/>
  <c r="J531" i="1"/>
  <c r="N571" i="1"/>
  <c r="K619" i="7"/>
  <c r="K189" i="8"/>
  <c r="L294" i="8"/>
  <c r="L292" i="8" s="1"/>
  <c r="K402" i="8"/>
  <c r="K621" i="8"/>
  <c r="K649" i="8"/>
  <c r="O650" i="8"/>
  <c r="L122" i="9"/>
  <c r="O122" i="9" s="1"/>
  <c r="K533" i="9"/>
  <c r="O535" i="9"/>
  <c r="O599" i="9"/>
  <c r="K397" i="10"/>
  <c r="K573" i="10"/>
  <c r="N222" i="11"/>
  <c r="P222" i="11" s="1"/>
  <c r="K397" i="11"/>
  <c r="K401" i="11"/>
  <c r="P70" i="14"/>
  <c r="M68" i="14"/>
  <c r="P68" i="14" s="1"/>
  <c r="N142" i="6"/>
  <c r="N140" i="6" s="1"/>
  <c r="K267" i="6"/>
  <c r="O385" i="6"/>
  <c r="K397" i="6"/>
  <c r="K428" i="6"/>
  <c r="K435" i="6"/>
  <c r="O437" i="6"/>
  <c r="K617" i="6"/>
  <c r="K626" i="6"/>
  <c r="L57" i="7"/>
  <c r="O57" i="7" s="1"/>
  <c r="K430" i="7"/>
  <c r="K617" i="7"/>
  <c r="N644" i="7"/>
  <c r="N640" i="7" s="1"/>
  <c r="N638" i="7" s="1"/>
  <c r="N636" i="7" s="1"/>
  <c r="N142" i="8"/>
  <c r="N140" i="8" s="1"/>
  <c r="O535" i="8"/>
  <c r="N55" i="9"/>
  <c r="P55" i="9" s="1"/>
  <c r="K158" i="9"/>
  <c r="K216" i="9"/>
  <c r="O347" i="9"/>
  <c r="K426" i="9"/>
  <c r="K432" i="9"/>
  <c r="L45" i="10"/>
  <c r="O45" i="10" s="1"/>
  <c r="K138" i="10"/>
  <c r="O435" i="10"/>
  <c r="K449" i="10"/>
  <c r="K564" i="10"/>
  <c r="O566" i="10"/>
  <c r="K635" i="10"/>
  <c r="L122" i="11"/>
  <c r="O122" i="11" s="1"/>
  <c r="P144" i="11"/>
  <c r="K164" i="11"/>
  <c r="K173" i="11"/>
  <c r="K200" i="11"/>
  <c r="K229" i="11"/>
  <c r="N252" i="11"/>
  <c r="N250" i="11" s="1"/>
  <c r="N331" i="11"/>
  <c r="N329" i="11" s="1"/>
  <c r="N32" i="11"/>
  <c r="N30" i="11" s="1"/>
  <c r="O564" i="11"/>
  <c r="J671" i="11"/>
  <c r="L45" i="12"/>
  <c r="O45" i="12" s="1"/>
  <c r="K111" i="12"/>
  <c r="K328" i="12"/>
  <c r="P144" i="13"/>
  <c r="N142" i="13"/>
  <c r="P142" i="13" s="1"/>
  <c r="L23" i="16"/>
  <c r="O23" i="16" s="1"/>
  <c r="P314" i="17"/>
  <c r="M312" i="17"/>
  <c r="N258" i="1"/>
  <c r="J282" i="1"/>
  <c r="J287" i="1"/>
  <c r="K370" i="6"/>
  <c r="K620" i="6"/>
  <c r="K622" i="6"/>
  <c r="K624" i="6"/>
  <c r="K663" i="6"/>
  <c r="K369" i="7"/>
  <c r="K419" i="7"/>
  <c r="K425" i="7"/>
  <c r="K431" i="7"/>
  <c r="K450" i="7"/>
  <c r="K615" i="7"/>
  <c r="K370" i="8"/>
  <c r="K401" i="8"/>
  <c r="O533" i="9"/>
  <c r="O597" i="9"/>
  <c r="N292" i="14"/>
  <c r="N290" i="14" s="1"/>
  <c r="L144" i="16"/>
  <c r="O144" i="16" s="1"/>
  <c r="P294" i="16"/>
  <c r="M292" i="16"/>
  <c r="P292" i="16" s="1"/>
  <c r="K398" i="6"/>
  <c r="O401" i="6"/>
  <c r="O404" i="6"/>
  <c r="N32" i="6"/>
  <c r="N30" i="6" s="1"/>
  <c r="K613" i="6"/>
  <c r="K631" i="6"/>
  <c r="K649" i="6"/>
  <c r="N26" i="7"/>
  <c r="N16" i="7" s="1"/>
  <c r="K613" i="7"/>
  <c r="K625" i="7"/>
  <c r="K629" i="7"/>
  <c r="N96" i="8"/>
  <c r="N94" i="8" s="1"/>
  <c r="N312" i="9"/>
  <c r="N310" i="9" s="1"/>
  <c r="N33" i="9"/>
  <c r="N13" i="9" s="1"/>
  <c r="K416" i="9"/>
  <c r="K424" i="9"/>
  <c r="K430" i="9"/>
  <c r="O668" i="9"/>
  <c r="K421" i="10"/>
  <c r="K427" i="10"/>
  <c r="O535" i="10"/>
  <c r="O564" i="10"/>
  <c r="K618" i="10"/>
  <c r="K615" i="10"/>
  <c r="K631" i="10"/>
  <c r="N55" i="11"/>
  <c r="N53" i="11" s="1"/>
  <c r="N96" i="11"/>
  <c r="N94" i="11" s="1"/>
  <c r="L224" i="11"/>
  <c r="K381" i="11"/>
  <c r="O406" i="11"/>
  <c r="K92" i="12"/>
  <c r="L98" i="12"/>
  <c r="L96" i="12" s="1"/>
  <c r="K109" i="12"/>
  <c r="N120" i="12"/>
  <c r="N118" i="12" s="1"/>
  <c r="I367" i="12"/>
  <c r="K367" i="12" s="1"/>
  <c r="K369" i="12"/>
  <c r="O535" i="12"/>
  <c r="N222" i="6"/>
  <c r="N220" i="6" s="1"/>
  <c r="N292" i="6"/>
  <c r="N290" i="6" s="1"/>
  <c r="K466" i="6"/>
  <c r="K498" i="6"/>
  <c r="O533" i="6"/>
  <c r="O564" i="6"/>
  <c r="K665" i="6"/>
  <c r="L70" i="7"/>
  <c r="O70" i="7" s="1"/>
  <c r="K173" i="7"/>
  <c r="K200" i="7"/>
  <c r="O347" i="7"/>
  <c r="O406" i="7"/>
  <c r="K417" i="7"/>
  <c r="O457" i="7"/>
  <c r="O537" i="7"/>
  <c r="K564" i="7"/>
  <c r="O566" i="7"/>
  <c r="K611" i="7"/>
  <c r="K623" i="7"/>
  <c r="N292" i="8"/>
  <c r="N290" i="8" s="1"/>
  <c r="O401" i="8"/>
  <c r="O406" i="8"/>
  <c r="O435" i="8"/>
  <c r="O568" i="8"/>
  <c r="K650" i="8"/>
  <c r="L57" i="9"/>
  <c r="P70" i="9"/>
  <c r="K219" i="9"/>
  <c r="K425" i="9"/>
  <c r="K435" i="9"/>
  <c r="O537" i="9"/>
  <c r="O601" i="9"/>
  <c r="K663" i="9"/>
  <c r="L122" i="10"/>
  <c r="K173" i="10"/>
  <c r="K204" i="10"/>
  <c r="K235" i="10"/>
  <c r="N273" i="10"/>
  <c r="N271" i="10" s="1"/>
  <c r="O347" i="10"/>
  <c r="K376" i="10"/>
  <c r="K380" i="10"/>
  <c r="K435" i="10"/>
  <c r="K629" i="10"/>
  <c r="O665" i="10"/>
  <c r="O668" i="10"/>
  <c r="L57" i="11"/>
  <c r="O57" i="11" s="1"/>
  <c r="M68" i="11"/>
  <c r="P68" i="11" s="1"/>
  <c r="M252" i="11"/>
  <c r="P252" i="11" s="1"/>
  <c r="L275" i="11"/>
  <c r="L273" i="11" s="1"/>
  <c r="L314" i="11"/>
  <c r="O314" i="11" s="1"/>
  <c r="K340" i="11"/>
  <c r="K343" i="11"/>
  <c r="O459" i="11"/>
  <c r="K464" i="11"/>
  <c r="K482" i="11"/>
  <c r="O601" i="11"/>
  <c r="P57" i="12"/>
  <c r="P122" i="12"/>
  <c r="K138" i="12"/>
  <c r="K629" i="12"/>
  <c r="K426" i="13"/>
  <c r="K450" i="13"/>
  <c r="K499" i="13"/>
  <c r="L333" i="14"/>
  <c r="O333" i="14" s="1"/>
  <c r="K430" i="14"/>
  <c r="N34" i="14"/>
  <c r="N14" i="14" s="1"/>
  <c r="K215" i="15"/>
  <c r="K219" i="15"/>
  <c r="K618" i="15"/>
  <c r="K92" i="16"/>
  <c r="K64" i="17"/>
  <c r="K132" i="17"/>
  <c r="K158" i="17"/>
  <c r="K380" i="17"/>
  <c r="O385" i="17"/>
  <c r="K397" i="17"/>
  <c r="N252" i="12"/>
  <c r="N250" i="12" s="1"/>
  <c r="M312" i="12"/>
  <c r="P312" i="12" s="1"/>
  <c r="O347" i="12"/>
  <c r="O352" i="12"/>
  <c r="K397" i="12"/>
  <c r="K464" i="12"/>
  <c r="O533" i="12"/>
  <c r="O597" i="12"/>
  <c r="K648" i="12"/>
  <c r="K138" i="13"/>
  <c r="N252" i="13"/>
  <c r="N250" i="13" s="1"/>
  <c r="M273" i="13"/>
  <c r="P273" i="13" s="1"/>
  <c r="O347" i="13"/>
  <c r="O459" i="13"/>
  <c r="K613" i="13"/>
  <c r="K621" i="13"/>
  <c r="K628" i="13"/>
  <c r="M120" i="14"/>
  <c r="P120" i="14" s="1"/>
  <c r="M329" i="14"/>
  <c r="K199" i="15"/>
  <c r="K380" i="15"/>
  <c r="O435" i="15"/>
  <c r="K616" i="15"/>
  <c r="K430" i="16"/>
  <c r="K498" i="16"/>
  <c r="N34" i="17"/>
  <c r="N14" i="17" s="1"/>
  <c r="K418" i="17"/>
  <c r="K424" i="17"/>
  <c r="K430" i="17"/>
  <c r="K455" i="17"/>
  <c r="K474" i="17"/>
  <c r="K626" i="20"/>
  <c r="K620" i="20"/>
  <c r="K622" i="20"/>
  <c r="L32" i="21"/>
  <c r="L30" i="21" s="1"/>
  <c r="P224" i="12"/>
  <c r="L254" i="12"/>
  <c r="K345" i="12"/>
  <c r="K350" i="12"/>
  <c r="J651" i="12"/>
  <c r="K651" i="12" s="1"/>
  <c r="N96" i="13"/>
  <c r="N94" i="13" s="1"/>
  <c r="K432" i="13"/>
  <c r="K619" i="13"/>
  <c r="P45" i="14"/>
  <c r="L294" i="14"/>
  <c r="O294" i="14" s="1"/>
  <c r="K341" i="14"/>
  <c r="N32" i="14"/>
  <c r="N30" i="14" s="1"/>
  <c r="K547" i="14"/>
  <c r="K564" i="14"/>
  <c r="N222" i="15"/>
  <c r="N220" i="15" s="1"/>
  <c r="K614" i="15"/>
  <c r="O98" i="16"/>
  <c r="N22" i="16"/>
  <c r="K80" i="17"/>
  <c r="K249" i="17"/>
  <c r="K285" i="17"/>
  <c r="K328" i="17"/>
  <c r="O383" i="17"/>
  <c r="K449" i="17"/>
  <c r="K466" i="17"/>
  <c r="K481" i="17"/>
  <c r="K499" i="17"/>
  <c r="N273" i="18"/>
  <c r="N271" i="18" s="1"/>
  <c r="P275" i="18"/>
  <c r="N33" i="20"/>
  <c r="N13" i="20" s="1"/>
  <c r="M292" i="21"/>
  <c r="P294" i="21"/>
  <c r="O401" i="12"/>
  <c r="O435" i="12"/>
  <c r="K473" i="12"/>
  <c r="K481" i="12"/>
  <c r="K633" i="12"/>
  <c r="P45" i="13"/>
  <c r="P70" i="13"/>
  <c r="K425" i="13"/>
  <c r="O568" i="13"/>
  <c r="K597" i="13"/>
  <c r="O601" i="13"/>
  <c r="K629" i="13"/>
  <c r="O601" i="14"/>
  <c r="N96" i="15"/>
  <c r="N94" i="15" s="1"/>
  <c r="K149" i="15"/>
  <c r="K213" i="15"/>
  <c r="L224" i="15"/>
  <c r="L222" i="15" s="1"/>
  <c r="L275" i="15"/>
  <c r="O275" i="15" s="1"/>
  <c r="N331" i="15"/>
  <c r="N329" i="15" s="1"/>
  <c r="K398" i="15"/>
  <c r="O439" i="15"/>
  <c r="K622" i="15"/>
  <c r="K189" i="16"/>
  <c r="K199" i="16"/>
  <c r="K219" i="16"/>
  <c r="K417" i="16"/>
  <c r="K431" i="16"/>
  <c r="O566" i="16"/>
  <c r="P254" i="18"/>
  <c r="M252" i="18"/>
  <c r="M250" i="18" s="1"/>
  <c r="P250" i="18" s="1"/>
  <c r="L24" i="20"/>
  <c r="O24" i="20" s="1"/>
  <c r="N312" i="12"/>
  <c r="N310" i="12" s="1"/>
  <c r="K341" i="12"/>
  <c r="K368" i="12"/>
  <c r="O455" i="12"/>
  <c r="K498" i="12"/>
  <c r="K631" i="12"/>
  <c r="K663" i="12"/>
  <c r="L122" i="13"/>
  <c r="L120" i="13" s="1"/>
  <c r="K158" i="13"/>
  <c r="K189" i="13"/>
  <c r="K199" i="13"/>
  <c r="P224" i="13"/>
  <c r="K229" i="13"/>
  <c r="N312" i="13"/>
  <c r="N310" i="13" s="1"/>
  <c r="K466" i="13"/>
  <c r="O566" i="13"/>
  <c r="K625" i="13"/>
  <c r="K635" i="13"/>
  <c r="K648" i="13"/>
  <c r="O649" i="13"/>
  <c r="N68" i="14"/>
  <c r="N66" i="14" s="1"/>
  <c r="K149" i="14"/>
  <c r="M252" i="14"/>
  <c r="P252" i="14" s="1"/>
  <c r="N33" i="14"/>
  <c r="N13" i="14" s="1"/>
  <c r="K432" i="14"/>
  <c r="O599" i="14"/>
  <c r="K635" i="14"/>
  <c r="K668" i="14"/>
  <c r="L144" i="15"/>
  <c r="O144" i="15" s="1"/>
  <c r="P333" i="15"/>
  <c r="K345" i="15"/>
  <c r="K349" i="15"/>
  <c r="O354" i="15"/>
  <c r="K372" i="15"/>
  <c r="O457" i="15"/>
  <c r="K465" i="15"/>
  <c r="K474" i="15"/>
  <c r="K498" i="15"/>
  <c r="K547" i="15"/>
  <c r="N32" i="16"/>
  <c r="N30" i="16" s="1"/>
  <c r="N31" i="16"/>
  <c r="N29" i="16" s="1"/>
  <c r="K423" i="16"/>
  <c r="O537" i="16"/>
  <c r="K597" i="16"/>
  <c r="L254" i="17"/>
  <c r="L252" i="17" s="1"/>
  <c r="K266" i="17"/>
  <c r="K419" i="17"/>
  <c r="K425" i="17"/>
  <c r="K431" i="17"/>
  <c r="O439" i="17"/>
  <c r="K450" i="17"/>
  <c r="O459" i="17"/>
  <c r="O405" i="19"/>
  <c r="L33" i="19"/>
  <c r="O33" i="19" s="1"/>
  <c r="O438" i="21"/>
  <c r="L33" i="21"/>
  <c r="O33" i="21" s="1"/>
  <c r="O601" i="17"/>
  <c r="M96" i="18"/>
  <c r="P96" i="18" s="1"/>
  <c r="L333" i="18"/>
  <c r="O333" i="18" s="1"/>
  <c r="K380" i="18"/>
  <c r="K416" i="18"/>
  <c r="O439" i="18"/>
  <c r="K450" i="18"/>
  <c r="P45" i="19"/>
  <c r="K113" i="19"/>
  <c r="K200" i="19"/>
  <c r="O347" i="19"/>
  <c r="K350" i="19"/>
  <c r="K396" i="19"/>
  <c r="K416" i="19"/>
  <c r="K474" i="19"/>
  <c r="K498" i="19"/>
  <c r="K630" i="19"/>
  <c r="K450" i="20"/>
  <c r="K625" i="20"/>
  <c r="K665" i="20"/>
  <c r="L23" i="21"/>
  <c r="O23" i="21" s="1"/>
  <c r="K164" i="21"/>
  <c r="K199" i="21"/>
  <c r="K377" i="21"/>
  <c r="O401" i="21"/>
  <c r="O404" i="21"/>
  <c r="K423" i="21"/>
  <c r="K429" i="21"/>
  <c r="K481" i="21"/>
  <c r="L24" i="22"/>
  <c r="O24" i="22" s="1"/>
  <c r="K158" i="22"/>
  <c r="K427" i="22"/>
  <c r="O566" i="22"/>
  <c r="O599" i="17"/>
  <c r="N96" i="18"/>
  <c r="N94" i="18" s="1"/>
  <c r="K138" i="18"/>
  <c r="K309" i="18"/>
  <c r="K328" i="18"/>
  <c r="K343" i="18"/>
  <c r="N43" i="19"/>
  <c r="N41" i="19" s="1"/>
  <c r="K133" i="19"/>
  <c r="P144" i="19"/>
  <c r="O337" i="19"/>
  <c r="K397" i="19"/>
  <c r="K401" i="19"/>
  <c r="O406" i="19"/>
  <c r="O584" i="19"/>
  <c r="K589" i="19"/>
  <c r="K618" i="19"/>
  <c r="N273" i="20"/>
  <c r="N271" i="20" s="1"/>
  <c r="L24" i="21"/>
  <c r="O24" i="21" s="1"/>
  <c r="K86" i="21"/>
  <c r="M55" i="22"/>
  <c r="M53" i="22" s="1"/>
  <c r="N68" i="22"/>
  <c r="N66" i="22" s="1"/>
  <c r="K173" i="22"/>
  <c r="K200" i="22"/>
  <c r="K372" i="22"/>
  <c r="K634" i="22"/>
  <c r="O661" i="17"/>
  <c r="I367" i="18"/>
  <c r="K367" i="18" s="1"/>
  <c r="N34" i="18"/>
  <c r="N14" i="18" s="1"/>
  <c r="K420" i="18"/>
  <c r="K423" i="18"/>
  <c r="K428" i="18"/>
  <c r="O437" i="18"/>
  <c r="K158" i="19"/>
  <c r="M250" i="19"/>
  <c r="K499" i="19"/>
  <c r="K547" i="19"/>
  <c r="K595" i="19"/>
  <c r="K616" i="19"/>
  <c r="J651" i="19"/>
  <c r="K663" i="19"/>
  <c r="N252" i="20"/>
  <c r="N250" i="20" s="1"/>
  <c r="N32" i="20"/>
  <c r="N30" i="20" s="1"/>
  <c r="K564" i="20"/>
  <c r="K573" i="20"/>
  <c r="N68" i="21"/>
  <c r="N66" i="21" s="1"/>
  <c r="K270" i="21"/>
  <c r="N312" i="21"/>
  <c r="N310" i="21" s="1"/>
  <c r="K340" i="21"/>
  <c r="K381" i="21"/>
  <c r="N33" i="21"/>
  <c r="N13" i="21" s="1"/>
  <c r="K396" i="21"/>
  <c r="K416" i="21"/>
  <c r="O599" i="21"/>
  <c r="N26" i="22"/>
  <c r="N16" i="22" s="1"/>
  <c r="L70" i="22"/>
  <c r="O70" i="22" s="1"/>
  <c r="I367" i="22"/>
  <c r="K367" i="22" s="1"/>
  <c r="O601" i="22"/>
  <c r="K229" i="18"/>
  <c r="O380" i="18"/>
  <c r="L333" i="19"/>
  <c r="O333" i="19" s="1"/>
  <c r="K375" i="19"/>
  <c r="K381" i="19"/>
  <c r="O401" i="19"/>
  <c r="N33" i="19"/>
  <c r="N13" i="19" s="1"/>
  <c r="K611" i="19"/>
  <c r="L294" i="20"/>
  <c r="L292" i="20" s="1"/>
  <c r="N34" i="20"/>
  <c r="N14" i="20" s="1"/>
  <c r="O535" i="20"/>
  <c r="O599" i="20"/>
  <c r="O49" i="21"/>
  <c r="L57" i="21"/>
  <c r="L55" i="21" s="1"/>
  <c r="L53" i="21" s="1"/>
  <c r="N34" i="21"/>
  <c r="N14" i="21" s="1"/>
  <c r="K564" i="21"/>
  <c r="O568" i="21"/>
  <c r="K671" i="21"/>
  <c r="L333" i="22"/>
  <c r="O333" i="22" s="1"/>
  <c r="K426" i="22"/>
  <c r="O533" i="22"/>
  <c r="O599" i="22"/>
  <c r="K533" i="17"/>
  <c r="O535" i="17"/>
  <c r="O651" i="17"/>
  <c r="N43" i="18"/>
  <c r="N41" i="18" s="1"/>
  <c r="L98" i="18"/>
  <c r="O98" i="18" s="1"/>
  <c r="N252" i="18"/>
  <c r="N250" i="18" s="1"/>
  <c r="L294" i="18"/>
  <c r="O294" i="18" s="1"/>
  <c r="N331" i="18"/>
  <c r="N329" i="18" s="1"/>
  <c r="K381" i="18"/>
  <c r="K432" i="18"/>
  <c r="O457" i="18"/>
  <c r="K564" i="18"/>
  <c r="K625" i="18"/>
  <c r="K629" i="18"/>
  <c r="K109" i="19"/>
  <c r="K112" i="19"/>
  <c r="K164" i="19"/>
  <c r="N222" i="19"/>
  <c r="N220" i="19" s="1"/>
  <c r="K340" i="19"/>
  <c r="K343" i="19"/>
  <c r="O349" i="19"/>
  <c r="O352" i="19"/>
  <c r="K614" i="19"/>
  <c r="O661" i="19"/>
  <c r="L70" i="20"/>
  <c r="L68" i="20" s="1"/>
  <c r="K173" i="20"/>
  <c r="L314" i="20"/>
  <c r="O314" i="20" s="1"/>
  <c r="K423" i="20"/>
  <c r="K429" i="20"/>
  <c r="K619" i="20"/>
  <c r="K64" i="21"/>
  <c r="K149" i="21"/>
  <c r="N252" i="21"/>
  <c r="N250" i="21" s="1"/>
  <c r="K264" i="21"/>
  <c r="K397" i="21"/>
  <c r="O406" i="21"/>
  <c r="K435" i="21"/>
  <c r="K455" i="21"/>
  <c r="K499" i="21"/>
  <c r="K595" i="21"/>
  <c r="K626" i="21"/>
  <c r="K633" i="21"/>
  <c r="O661" i="21"/>
  <c r="O665" i="21"/>
  <c r="N96" i="22"/>
  <c r="N94" i="22" s="1"/>
  <c r="N222" i="22"/>
  <c r="N220" i="22" s="1"/>
  <c r="M252" i="22"/>
  <c r="P252" i="22" s="1"/>
  <c r="L294" i="22"/>
  <c r="O294" i="22" s="1"/>
  <c r="O435" i="22"/>
  <c r="O568" i="22"/>
  <c r="K573" i="22"/>
  <c r="O597" i="22"/>
  <c r="P49" i="2"/>
  <c r="M26" i="2"/>
  <c r="M16" i="2" s="1"/>
  <c r="I189" i="1"/>
  <c r="I199" i="1"/>
  <c r="J219" i="1"/>
  <c r="L258" i="1"/>
  <c r="O258" i="1" s="1"/>
  <c r="I265" i="1"/>
  <c r="I396" i="1"/>
  <c r="J427" i="1"/>
  <c r="I431" i="1"/>
  <c r="J449" i="1"/>
  <c r="I649" i="1"/>
  <c r="O49" i="2"/>
  <c r="O102" i="2"/>
  <c r="M220" i="2"/>
  <c r="O275" i="2"/>
  <c r="O385" i="2"/>
  <c r="K397" i="2"/>
  <c r="K499" i="2"/>
  <c r="M68" i="3"/>
  <c r="M26" i="3"/>
  <c r="M16" i="3" s="1"/>
  <c r="L24" i="4"/>
  <c r="O24" i="4" s="1"/>
  <c r="L26" i="5"/>
  <c r="L16" i="5" s="1"/>
  <c r="M55" i="6"/>
  <c r="M53" i="6" s="1"/>
  <c r="P57" i="6"/>
  <c r="L640" i="6"/>
  <c r="L638" i="6" s="1"/>
  <c r="O650" i="6"/>
  <c r="M292" i="10"/>
  <c r="P292" i="10" s="1"/>
  <c r="P294" i="10"/>
  <c r="L292" i="6"/>
  <c r="L46" i="1"/>
  <c r="I84" i="1"/>
  <c r="K84" i="1" s="1"/>
  <c r="I86" i="1"/>
  <c r="M122" i="1"/>
  <c r="J185" i="1"/>
  <c r="I350" i="1"/>
  <c r="N353" i="1"/>
  <c r="I419" i="1"/>
  <c r="L458" i="1"/>
  <c r="O458" i="1" s="1"/>
  <c r="I480" i="1"/>
  <c r="K480" i="1" s="1"/>
  <c r="I505" i="1"/>
  <c r="K505" i="1" s="1"/>
  <c r="I509" i="1"/>
  <c r="K509" i="1" s="1"/>
  <c r="L567" i="1"/>
  <c r="O567" i="1" s="1"/>
  <c r="L45" i="2"/>
  <c r="O45" i="2" s="1"/>
  <c r="N55" i="2"/>
  <c r="N53" i="2" s="1"/>
  <c r="M68" i="2"/>
  <c r="P144" i="2"/>
  <c r="L224" i="2"/>
  <c r="L222" i="2" s="1"/>
  <c r="L220" i="2" s="1"/>
  <c r="L294" i="2"/>
  <c r="L292" i="2" s="1"/>
  <c r="L290" i="2" s="1"/>
  <c r="M331" i="2"/>
  <c r="M329" i="2" s="1"/>
  <c r="K465" i="2"/>
  <c r="L49" i="1"/>
  <c r="I93" i="1"/>
  <c r="N254" i="1"/>
  <c r="I285" i="1"/>
  <c r="I304" i="1"/>
  <c r="L351" i="1"/>
  <c r="O351" i="1" s="1"/>
  <c r="L404" i="1"/>
  <c r="L455" i="1"/>
  <c r="I472" i="1"/>
  <c r="K472" i="1" s="1"/>
  <c r="I476" i="1"/>
  <c r="K476" i="1" s="1"/>
  <c r="I493" i="1"/>
  <c r="K493" i="1" s="1"/>
  <c r="I510" i="1"/>
  <c r="K510" i="1" s="1"/>
  <c r="L564" i="1"/>
  <c r="L31" i="2"/>
  <c r="L11" i="2" s="1"/>
  <c r="O11" i="2" s="1"/>
  <c r="L57" i="2"/>
  <c r="O57" i="2" s="1"/>
  <c r="L70" i="2"/>
  <c r="O70" i="2" s="1"/>
  <c r="K109" i="2"/>
  <c r="K176" i="2"/>
  <c r="K289" i="2"/>
  <c r="O298" i="2"/>
  <c r="P314" i="2"/>
  <c r="N26" i="2"/>
  <c r="N16" i="2" s="1"/>
  <c r="K343" i="2"/>
  <c r="K368" i="2"/>
  <c r="K398" i="2"/>
  <c r="P294" i="3"/>
  <c r="M292" i="3"/>
  <c r="P292" i="3" s="1"/>
  <c r="O347" i="3"/>
  <c r="O352" i="3"/>
  <c r="L32" i="3"/>
  <c r="L30" i="3" s="1"/>
  <c r="N292" i="4"/>
  <c r="N290" i="4" s="1"/>
  <c r="P337" i="4"/>
  <c r="K369" i="4"/>
  <c r="I367" i="4"/>
  <c r="K367" i="4" s="1"/>
  <c r="O404" i="4"/>
  <c r="O566" i="4"/>
  <c r="K633" i="4"/>
  <c r="K430" i="5"/>
  <c r="L33" i="7"/>
  <c r="O33" i="7" s="1"/>
  <c r="O436" i="7"/>
  <c r="L31" i="7"/>
  <c r="L11" i="7" s="1"/>
  <c r="O11" i="7" s="1"/>
  <c r="J112" i="1"/>
  <c r="I173" i="1"/>
  <c r="M298" i="1"/>
  <c r="P298" i="1" s="1"/>
  <c r="J349" i="1"/>
  <c r="I477" i="1"/>
  <c r="K477" i="1" s="1"/>
  <c r="I482" i="1"/>
  <c r="J551" i="1"/>
  <c r="I560" i="1"/>
  <c r="N34" i="2"/>
  <c r="N14" i="2" s="1"/>
  <c r="K132" i="2"/>
  <c r="P333" i="2"/>
  <c r="N31" i="2"/>
  <c r="N29" i="2" s="1"/>
  <c r="K466" i="2"/>
  <c r="J243" i="1"/>
  <c r="P337" i="6"/>
  <c r="M26" i="6"/>
  <c r="M16" i="6" s="1"/>
  <c r="M331" i="6"/>
  <c r="L126" i="1"/>
  <c r="O126" i="1" s="1"/>
  <c r="I138" i="1"/>
  <c r="K138" i="1" s="1"/>
  <c r="I219" i="1"/>
  <c r="I264" i="1"/>
  <c r="J267" i="1"/>
  <c r="I346" i="1"/>
  <c r="K346" i="1" s="1"/>
  <c r="L382" i="1"/>
  <c r="O382" i="1" s="1"/>
  <c r="I427" i="1"/>
  <c r="L457" i="1"/>
  <c r="I499" i="1"/>
  <c r="M120" i="2"/>
  <c r="N222" i="2"/>
  <c r="N220" i="2" s="1"/>
  <c r="K229" i="2"/>
  <c r="L254" i="2"/>
  <c r="L252" i="2" s="1"/>
  <c r="K304" i="2"/>
  <c r="K328" i="2"/>
  <c r="L333" i="2"/>
  <c r="L331" i="2" s="1"/>
  <c r="L329" i="2" s="1"/>
  <c r="O349" i="2"/>
  <c r="O354" i="2"/>
  <c r="J170" i="1"/>
  <c r="J175" i="1"/>
  <c r="K376" i="4"/>
  <c r="O382" i="4"/>
  <c r="L31" i="4"/>
  <c r="L11" i="4" s="1"/>
  <c r="O437" i="4"/>
  <c r="K381" i="5"/>
  <c r="M43" i="7"/>
  <c r="M41" i="7" s="1"/>
  <c r="M26" i="7"/>
  <c r="P49" i="7"/>
  <c r="P70" i="7"/>
  <c r="J616" i="1"/>
  <c r="N26" i="3"/>
  <c r="N16" i="3" s="1"/>
  <c r="N118" i="3"/>
  <c r="J231" i="1"/>
  <c r="N292" i="3"/>
  <c r="N290" i="3" s="1"/>
  <c r="I367" i="3"/>
  <c r="K367" i="3" s="1"/>
  <c r="K497" i="3"/>
  <c r="K547" i="3"/>
  <c r="K564" i="3"/>
  <c r="N331" i="4"/>
  <c r="K397" i="4"/>
  <c r="O533" i="4"/>
  <c r="K620" i="4"/>
  <c r="K622" i="4"/>
  <c r="P57" i="5"/>
  <c r="J64" i="1"/>
  <c r="J86" i="1"/>
  <c r="K108" i="5"/>
  <c r="P275" i="5"/>
  <c r="O383" i="5"/>
  <c r="K425" i="5"/>
  <c r="O459" i="5"/>
  <c r="J472" i="1"/>
  <c r="J480" i="1"/>
  <c r="J504" i="1"/>
  <c r="J548" i="1"/>
  <c r="N556" i="1"/>
  <c r="K189" i="6"/>
  <c r="K630" i="6"/>
  <c r="M68" i="7"/>
  <c r="K158" i="7"/>
  <c r="N331" i="7"/>
  <c r="N329" i="7" s="1"/>
  <c r="O337" i="8"/>
  <c r="M337" i="8"/>
  <c r="P337" i="8" s="1"/>
  <c r="P294" i="9"/>
  <c r="M292" i="9"/>
  <c r="P292" i="9" s="1"/>
  <c r="M22" i="3"/>
  <c r="M12" i="3" s="1"/>
  <c r="K86" i="3"/>
  <c r="L98" i="3"/>
  <c r="P144" i="3"/>
  <c r="J286" i="1"/>
  <c r="L335" i="1"/>
  <c r="K345" i="3"/>
  <c r="N31" i="3"/>
  <c r="N29" i="3" s="1"/>
  <c r="O650" i="3"/>
  <c r="J671" i="3"/>
  <c r="K671" i="3" s="1"/>
  <c r="M102" i="4"/>
  <c r="P102" i="4" s="1"/>
  <c r="K110" i="4"/>
  <c r="K176" i="4"/>
  <c r="K189" i="4"/>
  <c r="N318" i="1"/>
  <c r="O380" i="4"/>
  <c r="K618" i="4"/>
  <c r="M118" i="5"/>
  <c r="K200" i="5"/>
  <c r="K204" i="5"/>
  <c r="N222" i="5"/>
  <c r="N220" i="5" s="1"/>
  <c r="M252" i="5"/>
  <c r="L294" i="5"/>
  <c r="O294" i="5" s="1"/>
  <c r="J303" i="1"/>
  <c r="K345" i="5"/>
  <c r="K377" i="5"/>
  <c r="K402" i="5"/>
  <c r="K416" i="5"/>
  <c r="K423" i="5"/>
  <c r="K428" i="5"/>
  <c r="J451" i="1"/>
  <c r="N460" i="1"/>
  <c r="J467" i="1"/>
  <c r="J216" i="1"/>
  <c r="J244" i="1"/>
  <c r="L314" i="6"/>
  <c r="O314" i="6" s="1"/>
  <c r="K368" i="6"/>
  <c r="K618" i="6"/>
  <c r="K628" i="6"/>
  <c r="N41" i="7"/>
  <c r="L144" i="7"/>
  <c r="L57" i="8"/>
  <c r="O57" i="8" s="1"/>
  <c r="N31" i="8"/>
  <c r="N11" i="8" s="1"/>
  <c r="N9" i="8" s="1"/>
  <c r="P254" i="9"/>
  <c r="M252" i="9"/>
  <c r="N55" i="10"/>
  <c r="N53" i="10" s="1"/>
  <c r="N68" i="10"/>
  <c r="N66" i="10" s="1"/>
  <c r="P70" i="10"/>
  <c r="P275" i="12"/>
  <c r="M273" i="12"/>
  <c r="O122" i="14"/>
  <c r="L120" i="14"/>
  <c r="K564" i="2"/>
  <c r="N649" i="1"/>
  <c r="J655" i="1"/>
  <c r="J661" i="1"/>
  <c r="J670" i="1"/>
  <c r="J672" i="1"/>
  <c r="L57" i="3"/>
  <c r="L55" i="3" s="1"/>
  <c r="L53" i="3" s="1"/>
  <c r="J135" i="1"/>
  <c r="J197" i="1"/>
  <c r="J213" i="1"/>
  <c r="N222" i="3"/>
  <c r="N220" i="3" s="1"/>
  <c r="O406" i="3"/>
  <c r="K149" i="4"/>
  <c r="N252" i="4"/>
  <c r="N250" i="4" s="1"/>
  <c r="M292" i="4"/>
  <c r="K375" i="4"/>
  <c r="K416" i="4"/>
  <c r="K422" i="4"/>
  <c r="K428" i="4"/>
  <c r="O597" i="4"/>
  <c r="J623" i="1"/>
  <c r="K629" i="4"/>
  <c r="M142" i="5"/>
  <c r="K201" i="5"/>
  <c r="P224" i="5"/>
  <c r="L275" i="5"/>
  <c r="O275" i="5" s="1"/>
  <c r="J283" i="1"/>
  <c r="N33" i="5"/>
  <c r="N13" i="5" s="1"/>
  <c r="O457" i="5"/>
  <c r="K465" i="5"/>
  <c r="K620" i="5"/>
  <c r="K622" i="5"/>
  <c r="K624" i="5"/>
  <c r="K235" i="6"/>
  <c r="L254" i="6"/>
  <c r="L252" i="6" s="1"/>
  <c r="J323" i="1"/>
  <c r="K418" i="6"/>
  <c r="K421" i="6"/>
  <c r="K424" i="6"/>
  <c r="K429" i="6"/>
  <c r="K619" i="6"/>
  <c r="M120" i="7"/>
  <c r="P120" i="7" s="1"/>
  <c r="O353" i="7"/>
  <c r="O648" i="13"/>
  <c r="L640" i="13"/>
  <c r="I612" i="1"/>
  <c r="I618" i="1"/>
  <c r="I624" i="1"/>
  <c r="J668" i="1"/>
  <c r="M120" i="3"/>
  <c r="J154" i="1"/>
  <c r="K266" i="3"/>
  <c r="L294" i="3"/>
  <c r="O439" i="3"/>
  <c r="O455" i="3"/>
  <c r="K533" i="3"/>
  <c r="O535" i="3"/>
  <c r="K631" i="3"/>
  <c r="N644" i="3"/>
  <c r="N640" i="3" s="1"/>
  <c r="N638" i="3" s="1"/>
  <c r="N636" i="3" s="1"/>
  <c r="O671" i="3"/>
  <c r="K111" i="4"/>
  <c r="M142" i="4"/>
  <c r="M140" i="4" s="1"/>
  <c r="K164" i="4"/>
  <c r="K204" i="4"/>
  <c r="N220" i="4"/>
  <c r="P220" i="4" s="1"/>
  <c r="P224" i="4"/>
  <c r="L254" i="4"/>
  <c r="O254" i="4" s="1"/>
  <c r="O337" i="4"/>
  <c r="O347" i="4"/>
  <c r="O401" i="4"/>
  <c r="J419" i="1"/>
  <c r="J425" i="1"/>
  <c r="J431" i="1"/>
  <c r="O457" i="4"/>
  <c r="O584" i="4"/>
  <c r="K614" i="4"/>
  <c r="K621" i="4"/>
  <c r="K665" i="4"/>
  <c r="L122" i="5"/>
  <c r="O122" i="5" s="1"/>
  <c r="L144" i="5"/>
  <c r="K149" i="5"/>
  <c r="K270" i="5"/>
  <c r="N312" i="5"/>
  <c r="P312" i="5" s="1"/>
  <c r="K341" i="5"/>
  <c r="J343" i="1"/>
  <c r="O352" i="5"/>
  <c r="O380" i="5"/>
  <c r="O533" i="5"/>
  <c r="K564" i="5"/>
  <c r="O568" i="5"/>
  <c r="K573" i="5"/>
  <c r="O601" i="5"/>
  <c r="K628" i="5"/>
  <c r="L122" i="6"/>
  <c r="P144" i="6"/>
  <c r="K266" i="6"/>
  <c r="O383" i="6"/>
  <c r="K401" i="6"/>
  <c r="K464" i="6"/>
  <c r="K564" i="6"/>
  <c r="O601" i="6"/>
  <c r="K650" i="6"/>
  <c r="J651" i="6"/>
  <c r="J671" i="6"/>
  <c r="K671" i="6" s="1"/>
  <c r="N252" i="7"/>
  <c r="N250" i="7" s="1"/>
  <c r="L640" i="7"/>
  <c r="O640" i="7" s="1"/>
  <c r="N32" i="8"/>
  <c r="N30" i="8" s="1"/>
  <c r="J631" i="1"/>
  <c r="J650" i="1"/>
  <c r="K80" i="3"/>
  <c r="O258" i="3"/>
  <c r="K264" i="3"/>
  <c r="P333" i="3"/>
  <c r="K396" i="3"/>
  <c r="K402" i="3"/>
  <c r="J561" i="1"/>
  <c r="J578" i="1"/>
  <c r="N583" i="1"/>
  <c r="K92" i="4"/>
  <c r="K201" i="4"/>
  <c r="K215" i="4"/>
  <c r="K266" i="4"/>
  <c r="L314" i="4"/>
  <c r="L312" i="4" s="1"/>
  <c r="M331" i="4"/>
  <c r="M329" i="4" s="1"/>
  <c r="K345" i="4"/>
  <c r="J361" i="1"/>
  <c r="N389" i="1"/>
  <c r="J396" i="1"/>
  <c r="K420" i="4"/>
  <c r="K426" i="4"/>
  <c r="K432" i="4"/>
  <c r="K465" i="4"/>
  <c r="O601" i="4"/>
  <c r="K626" i="4"/>
  <c r="K668" i="4"/>
  <c r="K117" i="5"/>
  <c r="K199" i="5"/>
  <c r="K285" i="5"/>
  <c r="K309" i="5"/>
  <c r="K370" i="5"/>
  <c r="O401" i="5"/>
  <c r="O404" i="5"/>
  <c r="O439" i="5"/>
  <c r="K450" i="5"/>
  <c r="K466" i="5"/>
  <c r="L98" i="6"/>
  <c r="O98" i="6" s="1"/>
  <c r="K158" i="6"/>
  <c r="K264" i="6"/>
  <c r="K270" i="6"/>
  <c r="K341" i="6"/>
  <c r="K381" i="6"/>
  <c r="K416" i="6"/>
  <c r="K422" i="6"/>
  <c r="K430" i="6"/>
  <c r="K449" i="6"/>
  <c r="O457" i="6"/>
  <c r="K547" i="6"/>
  <c r="N651" i="1"/>
  <c r="L24" i="7"/>
  <c r="O24" i="7" s="1"/>
  <c r="K418" i="7"/>
  <c r="J398" i="1"/>
  <c r="K422" i="7"/>
  <c r="K428" i="7"/>
  <c r="N34" i="7"/>
  <c r="N14" i="7" s="1"/>
  <c r="O597" i="7"/>
  <c r="K612" i="7"/>
  <c r="K614" i="7"/>
  <c r="K616" i="7"/>
  <c r="K620" i="7"/>
  <c r="K622" i="7"/>
  <c r="K624" i="7"/>
  <c r="N26" i="8"/>
  <c r="N16" i="8" s="1"/>
  <c r="P57" i="8"/>
  <c r="P144" i="8"/>
  <c r="K158" i="8"/>
  <c r="J397" i="1"/>
  <c r="K426" i="8"/>
  <c r="K429" i="8"/>
  <c r="K432" i="8"/>
  <c r="J630" i="1"/>
  <c r="J651" i="8"/>
  <c r="K651" i="8" s="1"/>
  <c r="J671" i="8"/>
  <c r="K671" i="8" s="1"/>
  <c r="K229" i="9"/>
  <c r="L294" i="9"/>
  <c r="L292" i="9" s="1"/>
  <c r="N22" i="11"/>
  <c r="M220" i="11"/>
  <c r="L294" i="11"/>
  <c r="L333" i="11"/>
  <c r="O333" i="11" s="1"/>
  <c r="K481" i="11"/>
  <c r="K499" i="11"/>
  <c r="O537" i="12"/>
  <c r="L34" i="12"/>
  <c r="L222" i="19"/>
  <c r="L220" i="19" s="1"/>
  <c r="P275" i="19"/>
  <c r="M273" i="19"/>
  <c r="O537" i="19"/>
  <c r="N34" i="19"/>
  <c r="N14" i="19" s="1"/>
  <c r="N33" i="7"/>
  <c r="N13" i="7" s="1"/>
  <c r="K420" i="7"/>
  <c r="K423" i="7"/>
  <c r="K200" i="8"/>
  <c r="K213" i="8"/>
  <c r="K372" i="8"/>
  <c r="N33" i="8"/>
  <c r="N13" i="8" s="1"/>
  <c r="O533" i="8"/>
  <c r="M66" i="9"/>
  <c r="N331" i="9"/>
  <c r="N329" i="9" s="1"/>
  <c r="K431" i="10"/>
  <c r="I367" i="11"/>
  <c r="K367" i="11" s="1"/>
  <c r="N26" i="12"/>
  <c r="N16" i="12" s="1"/>
  <c r="O582" i="17"/>
  <c r="L32" i="17"/>
  <c r="L30" i="17" s="1"/>
  <c r="K176" i="7"/>
  <c r="L254" i="7"/>
  <c r="M273" i="7"/>
  <c r="M312" i="7"/>
  <c r="P312" i="7" s="1"/>
  <c r="K380" i="7"/>
  <c r="K402" i="7"/>
  <c r="K426" i="7"/>
  <c r="K429" i="7"/>
  <c r="K435" i="7"/>
  <c r="O437" i="7"/>
  <c r="K498" i="7"/>
  <c r="K547" i="7"/>
  <c r="L70" i="8"/>
  <c r="L68" i="8" s="1"/>
  <c r="L144" i="8"/>
  <c r="L142" i="8" s="1"/>
  <c r="K270" i="8"/>
  <c r="K285" i="8"/>
  <c r="I367" i="8"/>
  <c r="K367" i="8" s="1"/>
  <c r="K398" i="8"/>
  <c r="K418" i="8"/>
  <c r="K421" i="8"/>
  <c r="K424" i="8"/>
  <c r="K427" i="8"/>
  <c r="K430" i="8"/>
  <c r="O597" i="8"/>
  <c r="P45" i="9"/>
  <c r="M96" i="9"/>
  <c r="P96" i="9" s="1"/>
  <c r="K149" i="9"/>
  <c r="N250" i="9"/>
  <c r="K402" i="9"/>
  <c r="K665" i="9"/>
  <c r="M96" i="10"/>
  <c r="P96" i="10" s="1"/>
  <c r="P144" i="10"/>
  <c r="K149" i="10"/>
  <c r="P314" i="10"/>
  <c r="M312" i="10"/>
  <c r="I367" i="10"/>
  <c r="K367" i="10" s="1"/>
  <c r="N32" i="10"/>
  <c r="N30" i="10" s="1"/>
  <c r="K626" i="10"/>
  <c r="K624" i="10"/>
  <c r="K622" i="10"/>
  <c r="K620" i="10"/>
  <c r="K668" i="10"/>
  <c r="L24" i="11"/>
  <c r="O24" i="11" s="1"/>
  <c r="K450" i="11"/>
  <c r="K473" i="11"/>
  <c r="K497" i="11"/>
  <c r="O568" i="11"/>
  <c r="L11" i="14"/>
  <c r="O11" i="14" s="1"/>
  <c r="N120" i="17"/>
  <c r="P122" i="17"/>
  <c r="O228" i="7"/>
  <c r="O380" i="7"/>
  <c r="O383" i="7"/>
  <c r="K397" i="7"/>
  <c r="K427" i="7"/>
  <c r="K597" i="7"/>
  <c r="O601" i="7"/>
  <c r="N68" i="8"/>
  <c r="P68" i="8" s="1"/>
  <c r="M96" i="8"/>
  <c r="K138" i="8"/>
  <c r="K396" i="8"/>
  <c r="O601" i="8"/>
  <c r="K625" i="8"/>
  <c r="L45" i="9"/>
  <c r="L43" i="9" s="1"/>
  <c r="M53" i="9"/>
  <c r="P57" i="9"/>
  <c r="L144" i="9"/>
  <c r="L142" i="9" s="1"/>
  <c r="K164" i="9"/>
  <c r="K204" i="9"/>
  <c r="O661" i="9"/>
  <c r="M53" i="10"/>
  <c r="L144" i="10"/>
  <c r="O144" i="10" s="1"/>
  <c r="K164" i="10"/>
  <c r="P224" i="10"/>
  <c r="N222" i="10"/>
  <c r="P222" i="10" s="1"/>
  <c r="P275" i="11"/>
  <c r="M273" i="11"/>
  <c r="P273" i="11" s="1"/>
  <c r="K465" i="11"/>
  <c r="L23" i="12"/>
  <c r="O23" i="12" s="1"/>
  <c r="K265" i="12"/>
  <c r="L640" i="12"/>
  <c r="L638" i="12" s="1"/>
  <c r="O383" i="14"/>
  <c r="L32" i="14"/>
  <c r="L30" i="14" s="1"/>
  <c r="K418" i="14"/>
  <c r="K421" i="14"/>
  <c r="K424" i="14"/>
  <c r="K427" i="14"/>
  <c r="O599" i="7"/>
  <c r="M66" i="8"/>
  <c r="K216" i="8"/>
  <c r="K368" i="8"/>
  <c r="K380" i="8"/>
  <c r="O437" i="8"/>
  <c r="N32" i="9"/>
  <c r="N30" i="9" s="1"/>
  <c r="J392" i="1"/>
  <c r="J401" i="1"/>
  <c r="L436" i="1"/>
  <c r="O436" i="1" s="1"/>
  <c r="L439" i="1"/>
  <c r="I518" i="1"/>
  <c r="I521" i="1"/>
  <c r="I524" i="1"/>
  <c r="I527" i="1"/>
  <c r="I530" i="1"/>
  <c r="N538" i="1"/>
  <c r="J545" i="1"/>
  <c r="I613" i="1"/>
  <c r="I619" i="1"/>
  <c r="I625" i="1"/>
  <c r="N96" i="10"/>
  <c r="N94" i="10" s="1"/>
  <c r="L57" i="12"/>
  <c r="L55" i="12" s="1"/>
  <c r="L24" i="12"/>
  <c r="P122" i="13"/>
  <c r="M120" i="13"/>
  <c r="M118" i="13" s="1"/>
  <c r="M220" i="13"/>
  <c r="J78" i="1"/>
  <c r="J87" i="1"/>
  <c r="O600" i="14"/>
  <c r="L33" i="14"/>
  <c r="O33" i="14" s="1"/>
  <c r="P68" i="16"/>
  <c r="M66" i="16"/>
  <c r="P66" i="16" s="1"/>
  <c r="L224" i="10"/>
  <c r="L222" i="10" s="1"/>
  <c r="N292" i="10"/>
  <c r="N290" i="10" s="1"/>
  <c r="N33" i="10"/>
  <c r="N13" i="10" s="1"/>
  <c r="M140" i="11"/>
  <c r="K158" i="11"/>
  <c r="N290" i="11"/>
  <c r="K380" i="11"/>
  <c r="L70" i="12"/>
  <c r="O70" i="12" s="1"/>
  <c r="K108" i="12"/>
  <c r="N142" i="12"/>
  <c r="P142" i="12" s="1"/>
  <c r="N273" i="12"/>
  <c r="N271" i="12" s="1"/>
  <c r="K591" i="12"/>
  <c r="K597" i="12"/>
  <c r="L23" i="14"/>
  <c r="O23" i="14" s="1"/>
  <c r="M140" i="14"/>
  <c r="K416" i="14"/>
  <c r="K419" i="14"/>
  <c r="K422" i="14"/>
  <c r="K425" i="14"/>
  <c r="K428" i="14"/>
  <c r="K431" i="14"/>
  <c r="J671" i="14"/>
  <c r="K671" i="14" s="1"/>
  <c r="K350" i="10"/>
  <c r="K417" i="10"/>
  <c r="K423" i="10"/>
  <c r="K429" i="10"/>
  <c r="K612" i="10"/>
  <c r="K614" i="10"/>
  <c r="K616" i="10"/>
  <c r="M96" i="11"/>
  <c r="K429" i="11"/>
  <c r="K432" i="11"/>
  <c r="L640" i="11"/>
  <c r="O640" i="11" s="1"/>
  <c r="N68" i="13"/>
  <c r="N66" i="13" s="1"/>
  <c r="P275" i="14"/>
  <c r="M273" i="14"/>
  <c r="P294" i="14"/>
  <c r="M292" i="14"/>
  <c r="P294" i="15"/>
  <c r="M292" i="15"/>
  <c r="P292" i="15" s="1"/>
  <c r="O74" i="16"/>
  <c r="L26" i="16"/>
  <c r="L16" i="16" s="1"/>
  <c r="N26" i="17"/>
  <c r="N16" i="17" s="1"/>
  <c r="O404" i="10"/>
  <c r="K547" i="10"/>
  <c r="L144" i="11"/>
  <c r="L142" i="11" s="1"/>
  <c r="N34" i="11"/>
  <c r="N14" i="11" s="1"/>
  <c r="O380" i="11"/>
  <c r="N33" i="11"/>
  <c r="N13" i="11" s="1"/>
  <c r="N644" i="11"/>
  <c r="N640" i="11" s="1"/>
  <c r="N638" i="11" s="1"/>
  <c r="N636" i="11" s="1"/>
  <c r="M140" i="12"/>
  <c r="P144" i="12"/>
  <c r="K158" i="12"/>
  <c r="K235" i="12"/>
  <c r="L294" i="12"/>
  <c r="O294" i="12" s="1"/>
  <c r="K589" i="12"/>
  <c r="K595" i="12"/>
  <c r="K533" i="13"/>
  <c r="P144" i="14"/>
  <c r="L34" i="14"/>
  <c r="O385" i="14"/>
  <c r="K417" i="14"/>
  <c r="K420" i="14"/>
  <c r="K423" i="14"/>
  <c r="K426" i="14"/>
  <c r="K429" i="14"/>
  <c r="M43" i="15"/>
  <c r="M41" i="15" s="1"/>
  <c r="M55" i="15"/>
  <c r="P57" i="15"/>
  <c r="P98" i="15"/>
  <c r="M96" i="15"/>
  <c r="K204" i="15"/>
  <c r="N31" i="15"/>
  <c r="N29" i="15" s="1"/>
  <c r="K110" i="16"/>
  <c r="P45" i="17"/>
  <c r="M43" i="17"/>
  <c r="M41" i="17" s="1"/>
  <c r="K349" i="10"/>
  <c r="O380" i="10"/>
  <c r="O568" i="10"/>
  <c r="K650" i="10"/>
  <c r="O651" i="10"/>
  <c r="P224" i="11"/>
  <c r="M312" i="11"/>
  <c r="P312" i="11" s="1"/>
  <c r="P333" i="11"/>
  <c r="K421" i="11"/>
  <c r="K424" i="11"/>
  <c r="K427" i="11"/>
  <c r="K430" i="11"/>
  <c r="O439" i="11"/>
  <c r="K455" i="11"/>
  <c r="O457" i="11"/>
  <c r="O537" i="11"/>
  <c r="O597" i="11"/>
  <c r="K630" i="11"/>
  <c r="K633" i="11"/>
  <c r="K93" i="12"/>
  <c r="L144" i="12"/>
  <c r="O144" i="12" s="1"/>
  <c r="K173" i="12"/>
  <c r="K200" i="12"/>
  <c r="K213" i="12"/>
  <c r="K267" i="12"/>
  <c r="L314" i="12"/>
  <c r="O314" i="12" s="1"/>
  <c r="O582" i="12"/>
  <c r="M22" i="13"/>
  <c r="M20" i="13" s="1"/>
  <c r="M55" i="13"/>
  <c r="M53" i="13" s="1"/>
  <c r="L32" i="13"/>
  <c r="L30" i="13" s="1"/>
  <c r="O383" i="13"/>
  <c r="K630" i="13"/>
  <c r="N222" i="14"/>
  <c r="P224" i="14"/>
  <c r="L275" i="14"/>
  <c r="L273" i="14" s="1"/>
  <c r="O273" i="14" s="1"/>
  <c r="P275" i="15"/>
  <c r="M273" i="15"/>
  <c r="K435" i="15"/>
  <c r="K424" i="16"/>
  <c r="K372" i="12"/>
  <c r="K418" i="12"/>
  <c r="K424" i="12"/>
  <c r="K430" i="12"/>
  <c r="K620" i="12"/>
  <c r="K622" i="12"/>
  <c r="K624" i="12"/>
  <c r="K626" i="12"/>
  <c r="O671" i="12"/>
  <c r="K200" i="13"/>
  <c r="K424" i="13"/>
  <c r="K497" i="13"/>
  <c r="K611" i="13"/>
  <c r="K623" i="13"/>
  <c r="N644" i="13"/>
  <c r="N640" i="13" s="1"/>
  <c r="N638" i="13" s="1"/>
  <c r="N636" i="13" s="1"/>
  <c r="K345" i="14"/>
  <c r="K397" i="14"/>
  <c r="O537" i="14"/>
  <c r="O651" i="14"/>
  <c r="L24" i="15"/>
  <c r="O24" i="15" s="1"/>
  <c r="N55" i="15"/>
  <c r="N53" i="15" s="1"/>
  <c r="K158" i="15"/>
  <c r="K164" i="15"/>
  <c r="K173" i="15"/>
  <c r="K264" i="15"/>
  <c r="K376" i="15"/>
  <c r="K418" i="15"/>
  <c r="K421" i="15"/>
  <c r="K424" i="15"/>
  <c r="K427" i="15"/>
  <c r="K430" i="15"/>
  <c r="N33" i="15"/>
  <c r="N13" i="15" s="1"/>
  <c r="K597" i="15"/>
  <c r="K626" i="15"/>
  <c r="K630" i="15"/>
  <c r="L33" i="16"/>
  <c r="O33" i="16" s="1"/>
  <c r="K113" i="16"/>
  <c r="N142" i="16"/>
  <c r="N140" i="16" s="1"/>
  <c r="P275" i="16"/>
  <c r="L314" i="16"/>
  <c r="O459" i="16"/>
  <c r="N43" i="17"/>
  <c r="N41" i="17" s="1"/>
  <c r="P57" i="17"/>
  <c r="P70" i="17"/>
  <c r="P74" i="17"/>
  <c r="P224" i="17"/>
  <c r="M222" i="17"/>
  <c r="M220" i="17" s="1"/>
  <c r="L294" i="17"/>
  <c r="O294" i="17" s="1"/>
  <c r="K368" i="17"/>
  <c r="K377" i="17"/>
  <c r="O380" i="17"/>
  <c r="M120" i="19"/>
  <c r="M118" i="19" s="1"/>
  <c r="M22" i="19"/>
  <c r="M12" i="19" s="1"/>
  <c r="O380" i="12"/>
  <c r="L32" i="12"/>
  <c r="L30" i="12" s="1"/>
  <c r="K465" i="12"/>
  <c r="K533" i="12"/>
  <c r="K628" i="12"/>
  <c r="L45" i="13"/>
  <c r="O45" i="13" s="1"/>
  <c r="L57" i="13"/>
  <c r="L55" i="13" s="1"/>
  <c r="K65" i="13"/>
  <c r="L314" i="13"/>
  <c r="L312" i="13" s="1"/>
  <c r="K401" i="13"/>
  <c r="O437" i="13"/>
  <c r="O455" i="13"/>
  <c r="K465" i="13"/>
  <c r="K498" i="13"/>
  <c r="O599" i="13"/>
  <c r="K649" i="13"/>
  <c r="O668" i="13"/>
  <c r="L45" i="14"/>
  <c r="L43" i="14" s="1"/>
  <c r="K343" i="14"/>
  <c r="O439" i="14"/>
  <c r="K450" i="14"/>
  <c r="K464" i="14"/>
  <c r="K473" i="14"/>
  <c r="K482" i="14"/>
  <c r="K497" i="14"/>
  <c r="K629" i="14"/>
  <c r="O668" i="14"/>
  <c r="K200" i="15"/>
  <c r="O337" i="15"/>
  <c r="K341" i="15"/>
  <c r="O347" i="15"/>
  <c r="K350" i="15"/>
  <c r="K402" i="15"/>
  <c r="K416" i="15"/>
  <c r="K466" i="15"/>
  <c r="K481" i="15"/>
  <c r="K499" i="15"/>
  <c r="K624" i="15"/>
  <c r="K628" i="15"/>
  <c r="L224" i="16"/>
  <c r="L222" i="16" s="1"/>
  <c r="L220" i="16" s="1"/>
  <c r="N273" i="16"/>
  <c r="O435" i="16"/>
  <c r="K449" i="16"/>
  <c r="O457" i="16"/>
  <c r="K564" i="16"/>
  <c r="K88" i="17"/>
  <c r="N222" i="17"/>
  <c r="N220" i="17" s="1"/>
  <c r="K235" i="17"/>
  <c r="O354" i="16"/>
  <c r="L34" i="16"/>
  <c r="P254" i="17"/>
  <c r="M252" i="17"/>
  <c r="K398" i="12"/>
  <c r="K435" i="12"/>
  <c r="O439" i="12"/>
  <c r="K497" i="12"/>
  <c r="K621" i="12"/>
  <c r="K623" i="12"/>
  <c r="N120" i="13"/>
  <c r="K149" i="13"/>
  <c r="L254" i="13"/>
  <c r="L252" i="13" s="1"/>
  <c r="O252" i="13" s="1"/>
  <c r="N31" i="13"/>
  <c r="N29" i="13" s="1"/>
  <c r="N33" i="13"/>
  <c r="N13" i="13" s="1"/>
  <c r="K430" i="13"/>
  <c r="K474" i="13"/>
  <c r="K481" i="13"/>
  <c r="O661" i="13"/>
  <c r="L24" i="14"/>
  <c r="O24" i="14" s="1"/>
  <c r="K619" i="14"/>
  <c r="K630" i="14"/>
  <c r="K633" i="14"/>
  <c r="N252" i="15"/>
  <c r="N250" i="15" s="1"/>
  <c r="K328" i="15"/>
  <c r="K564" i="15"/>
  <c r="K573" i="15"/>
  <c r="O597" i="15"/>
  <c r="K619" i="15"/>
  <c r="K620" i="15"/>
  <c r="L45" i="16"/>
  <c r="P122" i="16"/>
  <c r="M120" i="16"/>
  <c r="M273" i="16"/>
  <c r="O597" i="16"/>
  <c r="L24" i="17"/>
  <c r="O24" i="17" s="1"/>
  <c r="K84" i="17"/>
  <c r="N273" i="17"/>
  <c r="N271" i="17" s="1"/>
  <c r="P271" i="17" s="1"/>
  <c r="N331" i="17"/>
  <c r="N329" i="17" s="1"/>
  <c r="K417" i="12"/>
  <c r="K420" i="12"/>
  <c r="K423" i="12"/>
  <c r="K426" i="12"/>
  <c r="K429" i="12"/>
  <c r="K432" i="12"/>
  <c r="O437" i="12"/>
  <c r="O459" i="12"/>
  <c r="O564" i="12"/>
  <c r="K634" i="12"/>
  <c r="O648" i="12"/>
  <c r="K650" i="12"/>
  <c r="K668" i="12"/>
  <c r="N61" i="1"/>
  <c r="K216" i="13"/>
  <c r="O401" i="13"/>
  <c r="O404" i="13"/>
  <c r="K449" i="13"/>
  <c r="K464" i="13"/>
  <c r="K482" i="13"/>
  <c r="O533" i="13"/>
  <c r="K564" i="13"/>
  <c r="K618" i="13"/>
  <c r="K615" i="13"/>
  <c r="K631" i="13"/>
  <c r="L98" i="14"/>
  <c r="L96" i="14" s="1"/>
  <c r="O96" i="14" s="1"/>
  <c r="L224" i="14"/>
  <c r="O224" i="14" s="1"/>
  <c r="L254" i="14"/>
  <c r="O254" i="14" s="1"/>
  <c r="L314" i="14"/>
  <c r="L312" i="14" s="1"/>
  <c r="K328" i="14"/>
  <c r="K396" i="14"/>
  <c r="K402" i="14"/>
  <c r="O533" i="14"/>
  <c r="K597" i="14"/>
  <c r="O649" i="14"/>
  <c r="M68" i="15"/>
  <c r="L122" i="15"/>
  <c r="O122" i="15" s="1"/>
  <c r="P144" i="15"/>
  <c r="K229" i="15"/>
  <c r="K266" i="15"/>
  <c r="K270" i="15"/>
  <c r="K375" i="15"/>
  <c r="K417" i="15"/>
  <c r="K420" i="15"/>
  <c r="K423" i="15"/>
  <c r="K426" i="15"/>
  <c r="K429" i="15"/>
  <c r="K432" i="15"/>
  <c r="O455" i="15"/>
  <c r="K634" i="15"/>
  <c r="N120" i="16"/>
  <c r="N118" i="16" s="1"/>
  <c r="L333" i="16"/>
  <c r="O333" i="16" s="1"/>
  <c r="K340" i="16"/>
  <c r="K343" i="16"/>
  <c r="O352" i="16"/>
  <c r="L32" i="16"/>
  <c r="K397" i="16"/>
  <c r="K401" i="16"/>
  <c r="O406" i="16"/>
  <c r="K630" i="16"/>
  <c r="K633" i="16"/>
  <c r="O648" i="16"/>
  <c r="L640" i="16"/>
  <c r="L638" i="16" s="1"/>
  <c r="M68" i="17"/>
  <c r="M66" i="17" s="1"/>
  <c r="K82" i="17"/>
  <c r="K370" i="17"/>
  <c r="K381" i="17"/>
  <c r="N33" i="17"/>
  <c r="N13" i="17" s="1"/>
  <c r="P312" i="18"/>
  <c r="M310" i="18"/>
  <c r="M331" i="19"/>
  <c r="M329" i="19" s="1"/>
  <c r="P333" i="19"/>
  <c r="N29" i="20"/>
  <c r="N11" i="20"/>
  <c r="N9" i="20" s="1"/>
  <c r="N26" i="16"/>
  <c r="N16" i="16" s="1"/>
  <c r="N310" i="16"/>
  <c r="O404" i="16"/>
  <c r="L57" i="17"/>
  <c r="L55" i="17" s="1"/>
  <c r="L53" i="17" s="1"/>
  <c r="K376" i="17"/>
  <c r="K421" i="17"/>
  <c r="K427" i="17"/>
  <c r="K464" i="17"/>
  <c r="O566" i="17"/>
  <c r="L31" i="18"/>
  <c r="O382" i="18"/>
  <c r="M120" i="22"/>
  <c r="P122" i="22"/>
  <c r="L24" i="16"/>
  <c r="O24" i="16" s="1"/>
  <c r="K164" i="16"/>
  <c r="K235" i="16"/>
  <c r="M252" i="16"/>
  <c r="N331" i="16"/>
  <c r="N329" i="16" s="1"/>
  <c r="N33" i="16"/>
  <c r="N13" i="16" s="1"/>
  <c r="K435" i="16"/>
  <c r="O437" i="16"/>
  <c r="K497" i="16"/>
  <c r="O533" i="16"/>
  <c r="O599" i="16"/>
  <c r="K649" i="16"/>
  <c r="K341" i="17"/>
  <c r="O347" i="17"/>
  <c r="K350" i="17"/>
  <c r="N31" i="17"/>
  <c r="N29" i="17" s="1"/>
  <c r="K402" i="17"/>
  <c r="K482" i="17"/>
  <c r="K497" i="17"/>
  <c r="O533" i="17"/>
  <c r="K547" i="17"/>
  <c r="K629" i="17"/>
  <c r="K632" i="17"/>
  <c r="K397" i="18"/>
  <c r="K431" i="18"/>
  <c r="K618" i="18"/>
  <c r="K617" i="18"/>
  <c r="K619" i="18"/>
  <c r="K611" i="18"/>
  <c r="K613" i="18"/>
  <c r="P224" i="19"/>
  <c r="M222" i="19"/>
  <c r="M220" i="19" s="1"/>
  <c r="O404" i="19"/>
  <c r="L32" i="19"/>
  <c r="O49" i="20"/>
  <c r="L43" i="20"/>
  <c r="L41" i="20" s="1"/>
  <c r="L26" i="20"/>
  <c r="P275" i="20"/>
  <c r="M273" i="20"/>
  <c r="K465" i="17"/>
  <c r="K473" i="17"/>
  <c r="P144" i="18"/>
  <c r="M271" i="18"/>
  <c r="M140" i="19"/>
  <c r="O649" i="19"/>
  <c r="L640" i="19"/>
  <c r="P254" i="20"/>
  <c r="M252" i="20"/>
  <c r="K417" i="17"/>
  <c r="K423" i="17"/>
  <c r="K429" i="17"/>
  <c r="O455" i="17"/>
  <c r="O568" i="17"/>
  <c r="M41" i="18"/>
  <c r="L144" i="18"/>
  <c r="O144" i="18" s="1"/>
  <c r="L33" i="18"/>
  <c r="O33" i="18" s="1"/>
  <c r="O438" i="18"/>
  <c r="L70" i="19"/>
  <c r="L23" i="19"/>
  <c r="O23" i="19" s="1"/>
  <c r="N32" i="19"/>
  <c r="N30" i="19" s="1"/>
  <c r="N28" i="19" s="1"/>
  <c r="O535" i="19"/>
  <c r="L122" i="20"/>
  <c r="O122" i="20" s="1"/>
  <c r="L23" i="20"/>
  <c r="O23" i="20" s="1"/>
  <c r="O382" i="20"/>
  <c r="L31" i="20"/>
  <c r="L11" i="20" s="1"/>
  <c r="O536" i="20"/>
  <c r="L33" i="20"/>
  <c r="O33" i="20" s="1"/>
  <c r="K612" i="20"/>
  <c r="K616" i="20"/>
  <c r="K618" i="20"/>
  <c r="K614" i="20"/>
  <c r="P224" i="21"/>
  <c r="N222" i="21"/>
  <c r="P222" i="21" s="1"/>
  <c r="P142" i="18"/>
  <c r="K176" i="18"/>
  <c r="K219" i="18"/>
  <c r="K306" i="18"/>
  <c r="K340" i="18"/>
  <c r="K402" i="18"/>
  <c r="K418" i="18"/>
  <c r="K430" i="18"/>
  <c r="K449" i="18"/>
  <c r="O459" i="18"/>
  <c r="O566" i="18"/>
  <c r="O597" i="18"/>
  <c r="N26" i="19"/>
  <c r="N16" i="19" s="1"/>
  <c r="N96" i="19"/>
  <c r="N94" i="19" s="1"/>
  <c r="P122" i="19"/>
  <c r="K173" i="19"/>
  <c r="L254" i="19"/>
  <c r="O254" i="19" s="1"/>
  <c r="K266" i="19"/>
  <c r="M312" i="19"/>
  <c r="P312" i="19" s="1"/>
  <c r="K377" i="19"/>
  <c r="O385" i="19"/>
  <c r="K426" i="19"/>
  <c r="K432" i="19"/>
  <c r="O455" i="19"/>
  <c r="K628" i="19"/>
  <c r="L34" i="20"/>
  <c r="N26" i="20"/>
  <c r="N16" i="20" s="1"/>
  <c r="L333" i="20"/>
  <c r="O439" i="20"/>
  <c r="K624" i="20"/>
  <c r="P275" i="21"/>
  <c r="M273" i="21"/>
  <c r="P45" i="18"/>
  <c r="P57" i="18"/>
  <c r="K164" i="18"/>
  <c r="K204" i="18"/>
  <c r="P224" i="18"/>
  <c r="K235" i="18"/>
  <c r="M290" i="18"/>
  <c r="N292" i="18"/>
  <c r="P292" i="18" s="1"/>
  <c r="O385" i="18"/>
  <c r="K465" i="18"/>
  <c r="K474" i="18"/>
  <c r="K498" i="18"/>
  <c r="O533" i="18"/>
  <c r="K547" i="18"/>
  <c r="O584" i="18"/>
  <c r="K589" i="18"/>
  <c r="L640" i="18"/>
  <c r="O640" i="18" s="1"/>
  <c r="N644" i="18"/>
  <c r="N640" i="18" s="1"/>
  <c r="N638" i="18" s="1"/>
  <c r="N636" i="18" s="1"/>
  <c r="L45" i="19"/>
  <c r="L43" i="19" s="1"/>
  <c r="N55" i="19"/>
  <c r="N53" i="19" s="1"/>
  <c r="P53" i="19" s="1"/>
  <c r="P98" i="19"/>
  <c r="K345" i="19"/>
  <c r="K349" i="19"/>
  <c r="O354" i="19"/>
  <c r="O383" i="19"/>
  <c r="K402" i="19"/>
  <c r="K421" i="19"/>
  <c r="K427" i="19"/>
  <c r="K450" i="19"/>
  <c r="K464" i="19"/>
  <c r="K473" i="19"/>
  <c r="K482" i="19"/>
  <c r="K497" i="19"/>
  <c r="K564" i="19"/>
  <c r="O580" i="19"/>
  <c r="K591" i="19"/>
  <c r="K626" i="19"/>
  <c r="K625" i="19"/>
  <c r="K623" i="19"/>
  <c r="K621" i="19"/>
  <c r="K624" i="19"/>
  <c r="M22" i="20"/>
  <c r="P314" i="20"/>
  <c r="M312" i="20"/>
  <c r="L24" i="19"/>
  <c r="N43" i="20"/>
  <c r="N41" i="20" s="1"/>
  <c r="N22" i="20"/>
  <c r="M22" i="22"/>
  <c r="M12" i="22" s="1"/>
  <c r="O650" i="17"/>
  <c r="M220" i="18"/>
  <c r="L224" i="18"/>
  <c r="L222" i="18" s="1"/>
  <c r="L275" i="18"/>
  <c r="O275" i="18" s="1"/>
  <c r="K424" i="18"/>
  <c r="N11" i="19"/>
  <c r="N9" i="19" s="1"/>
  <c r="K620" i="19"/>
  <c r="N32" i="21"/>
  <c r="N30" i="21" s="1"/>
  <c r="K635" i="17"/>
  <c r="K648" i="17"/>
  <c r="K665" i="17"/>
  <c r="N68" i="18"/>
  <c r="N66" i="18" s="1"/>
  <c r="K289" i="18"/>
  <c r="K304" i="18"/>
  <c r="N310" i="18"/>
  <c r="K398" i="18"/>
  <c r="O401" i="18"/>
  <c r="O404" i="18"/>
  <c r="K422" i="18"/>
  <c r="O435" i="18"/>
  <c r="O568" i="18"/>
  <c r="K595" i="18"/>
  <c r="O599" i="18"/>
  <c r="J671" i="18"/>
  <c r="P70" i="19"/>
  <c r="K110" i="19"/>
  <c r="K117" i="19"/>
  <c r="K132" i="19"/>
  <c r="K138" i="19"/>
  <c r="L144" i="19"/>
  <c r="K219" i="19"/>
  <c r="P254" i="19"/>
  <c r="K265" i="19"/>
  <c r="M292" i="19"/>
  <c r="P292" i="19" s="1"/>
  <c r="K380" i="19"/>
  <c r="K422" i="19"/>
  <c r="K428" i="19"/>
  <c r="O457" i="19"/>
  <c r="K615" i="19"/>
  <c r="N120" i="20"/>
  <c r="N118" i="20" s="1"/>
  <c r="P224" i="20"/>
  <c r="M222" i="20"/>
  <c r="O404" i="20"/>
  <c r="L32" i="20"/>
  <c r="L30" i="20" s="1"/>
  <c r="O435" i="20"/>
  <c r="K613" i="20"/>
  <c r="K65" i="21"/>
  <c r="M337" i="22"/>
  <c r="M26" i="22" s="1"/>
  <c r="M16" i="22" s="1"/>
  <c r="O337" i="22"/>
  <c r="O601" i="19"/>
  <c r="K633" i="19"/>
  <c r="M96" i="20"/>
  <c r="L98" i="20"/>
  <c r="L96" i="20" s="1"/>
  <c r="N142" i="20"/>
  <c r="N140" i="20" s="1"/>
  <c r="O337" i="20"/>
  <c r="K421" i="20"/>
  <c r="K427" i="20"/>
  <c r="K611" i="20"/>
  <c r="K623" i="20"/>
  <c r="N26" i="21"/>
  <c r="N16" i="21" s="1"/>
  <c r="P45" i="21"/>
  <c r="K80" i="21"/>
  <c r="N96" i="21"/>
  <c r="N94" i="21" s="1"/>
  <c r="N31" i="21"/>
  <c r="N29" i="21" s="1"/>
  <c r="J651" i="21"/>
  <c r="K651" i="21" s="1"/>
  <c r="N34" i="22"/>
  <c r="N14" i="22" s="1"/>
  <c r="K597" i="22"/>
  <c r="O568" i="19"/>
  <c r="K597" i="19"/>
  <c r="K619" i="19"/>
  <c r="K631" i="19"/>
  <c r="K650" i="19"/>
  <c r="P45" i="20"/>
  <c r="P144" i="20"/>
  <c r="K149" i="20"/>
  <c r="K158" i="20"/>
  <c r="K189" i="20"/>
  <c r="K199" i="20"/>
  <c r="O406" i="20"/>
  <c r="K422" i="20"/>
  <c r="K428" i="20"/>
  <c r="K547" i="20"/>
  <c r="K597" i="20"/>
  <c r="O601" i="20"/>
  <c r="K621" i="20"/>
  <c r="L45" i="21"/>
  <c r="O45" i="21" s="1"/>
  <c r="P70" i="21"/>
  <c r="K81" i="21"/>
  <c r="P122" i="21"/>
  <c r="L275" i="21"/>
  <c r="L273" i="21" s="1"/>
  <c r="N292" i="21"/>
  <c r="N290" i="21" s="1"/>
  <c r="K401" i="21"/>
  <c r="O437" i="21"/>
  <c r="K589" i="21"/>
  <c r="K597" i="21"/>
  <c r="P144" i="22"/>
  <c r="P333" i="22"/>
  <c r="N33" i="22"/>
  <c r="N13" i="22" s="1"/>
  <c r="J651" i="22"/>
  <c r="O566" i="19"/>
  <c r="K593" i="19"/>
  <c r="O650" i="19"/>
  <c r="O665" i="19"/>
  <c r="N644" i="19"/>
  <c r="N640" i="19" s="1"/>
  <c r="N638" i="19" s="1"/>
  <c r="N636" i="19" s="1"/>
  <c r="M68" i="20"/>
  <c r="P68" i="20" s="1"/>
  <c r="L144" i="20"/>
  <c r="L142" i="20" s="1"/>
  <c r="K200" i="20"/>
  <c r="N331" i="20"/>
  <c r="N329" i="20" s="1"/>
  <c r="K402" i="20"/>
  <c r="K426" i="20"/>
  <c r="K435" i="20"/>
  <c r="K449" i="20"/>
  <c r="O597" i="20"/>
  <c r="K617" i="20"/>
  <c r="K632" i="20"/>
  <c r="L70" i="21"/>
  <c r="L68" i="21" s="1"/>
  <c r="K87" i="21"/>
  <c r="L122" i="21"/>
  <c r="L120" i="21" s="1"/>
  <c r="K158" i="21"/>
  <c r="K173" i="21"/>
  <c r="L294" i="21"/>
  <c r="O352" i="21"/>
  <c r="K375" i="21"/>
  <c r="O383" i="21"/>
  <c r="K432" i="21"/>
  <c r="O435" i="21"/>
  <c r="K613" i="21"/>
  <c r="K619" i="21"/>
  <c r="K625" i="21"/>
  <c r="L34" i="22"/>
  <c r="N31" i="22"/>
  <c r="O436" i="22"/>
  <c r="L31" i="22"/>
  <c r="L11" i="22" s="1"/>
  <c r="O11" i="22" s="1"/>
  <c r="K619" i="22"/>
  <c r="K618" i="22"/>
  <c r="K612" i="22"/>
  <c r="K614" i="22"/>
  <c r="K616" i="22"/>
  <c r="L275" i="20"/>
  <c r="O275" i="20" s="1"/>
  <c r="K401" i="20"/>
  <c r="K432" i="20"/>
  <c r="K615" i="20"/>
  <c r="P254" i="21"/>
  <c r="M252" i="21"/>
  <c r="P314" i="21"/>
  <c r="M312" i="21"/>
  <c r="M43" i="22"/>
  <c r="P45" i="22"/>
  <c r="K199" i="22"/>
  <c r="O349" i="22"/>
  <c r="O352" i="22"/>
  <c r="K370" i="22"/>
  <c r="K533" i="22"/>
  <c r="K564" i="22"/>
  <c r="N644" i="22"/>
  <c r="N640" i="22" s="1"/>
  <c r="N638" i="22" s="1"/>
  <c r="N636" i="22" s="1"/>
  <c r="K285" i="21"/>
  <c r="K425" i="21"/>
  <c r="K580" i="21"/>
  <c r="K615" i="21"/>
  <c r="K621" i="21"/>
  <c r="K628" i="21"/>
  <c r="K634" i="21"/>
  <c r="K650" i="21"/>
  <c r="N644" i="21"/>
  <c r="N640" i="21" s="1"/>
  <c r="N638" i="21" s="1"/>
  <c r="N636" i="21" s="1"/>
  <c r="L122" i="22"/>
  <c r="L120" i="22" s="1"/>
  <c r="M142" i="22"/>
  <c r="K401" i="22"/>
  <c r="O406" i="22"/>
  <c r="K450" i="22"/>
  <c r="K547" i="22"/>
  <c r="K229" i="21"/>
  <c r="K267" i="21"/>
  <c r="O354" i="21"/>
  <c r="K380" i="21"/>
  <c r="O385" i="21"/>
  <c r="K402" i="21"/>
  <c r="K426" i="21"/>
  <c r="K449" i="21"/>
  <c r="O459" i="21"/>
  <c r="K464" i="21"/>
  <c r="O597" i="21"/>
  <c r="K629" i="21"/>
  <c r="K635" i="21"/>
  <c r="K668" i="21"/>
  <c r="L57" i="22"/>
  <c r="L55" i="22" s="1"/>
  <c r="L26" i="22"/>
  <c r="K164" i="22"/>
  <c r="M222" i="22"/>
  <c r="P222" i="22" s="1"/>
  <c r="M312" i="22"/>
  <c r="P312" i="22" s="1"/>
  <c r="K435" i="22"/>
  <c r="O537" i="22"/>
  <c r="K630" i="22"/>
  <c r="K633" i="22"/>
  <c r="K349" i="21"/>
  <c r="K421" i="21"/>
  <c r="K427" i="21"/>
  <c r="K482" i="21"/>
  <c r="K533" i="21"/>
  <c r="K547" i="21"/>
  <c r="K611" i="21"/>
  <c r="K617" i="21"/>
  <c r="K623" i="21"/>
  <c r="K630" i="21"/>
  <c r="L98" i="22"/>
  <c r="L96" i="22" s="1"/>
  <c r="L254" i="22"/>
  <c r="N331" i="22"/>
  <c r="N329" i="22" s="1"/>
  <c r="O347" i="22"/>
  <c r="K350" i="22"/>
  <c r="K368" i="22"/>
  <c r="K376" i="22"/>
  <c r="K449" i="22"/>
  <c r="O564" i="22"/>
  <c r="P19" i="1"/>
  <c r="M15" i="1"/>
  <c r="P15" i="1" s="1"/>
  <c r="P25" i="1"/>
  <c r="O25" i="1"/>
  <c r="L15" i="1"/>
  <c r="O15" i="1" s="1"/>
  <c r="O54" i="1"/>
  <c r="N19" i="1"/>
  <c r="M53" i="2"/>
  <c r="M30" i="1"/>
  <c r="P30" i="1" s="1"/>
  <c r="P32" i="1"/>
  <c r="P21" i="1"/>
  <c r="M11" i="1"/>
  <c r="P275" i="3"/>
  <c r="N273" i="3"/>
  <c r="N271" i="3" s="1"/>
  <c r="L98" i="5"/>
  <c r="L23" i="5"/>
  <c r="K619" i="5"/>
  <c r="K617" i="5"/>
  <c r="K615" i="5"/>
  <c r="K613" i="5"/>
  <c r="K611" i="5"/>
  <c r="K618" i="5"/>
  <c r="K616" i="5"/>
  <c r="K614" i="5"/>
  <c r="K612" i="5"/>
  <c r="M53" i="7"/>
  <c r="I109" i="1"/>
  <c r="I235" i="1"/>
  <c r="I244" i="1"/>
  <c r="K244" i="1" s="1"/>
  <c r="J380" i="1"/>
  <c r="K380" i="1" s="1"/>
  <c r="J381" i="1"/>
  <c r="N383" i="1"/>
  <c r="N385" i="1"/>
  <c r="L401" i="1"/>
  <c r="J423" i="1"/>
  <c r="I467" i="1"/>
  <c r="K467" i="1" s="1"/>
  <c r="I471" i="1"/>
  <c r="K471" i="1" s="1"/>
  <c r="I479" i="1"/>
  <c r="K479" i="1" s="1"/>
  <c r="I483" i="1"/>
  <c r="K483" i="1" s="1"/>
  <c r="I491" i="1"/>
  <c r="K491" i="1" s="1"/>
  <c r="I495" i="1"/>
  <c r="K495" i="1" s="1"/>
  <c r="I503" i="1"/>
  <c r="K503" i="1" s="1"/>
  <c r="I507" i="1"/>
  <c r="K507" i="1" s="1"/>
  <c r="I515" i="1"/>
  <c r="K515" i="1" s="1"/>
  <c r="I630" i="1"/>
  <c r="P25" i="2"/>
  <c r="M15" i="2"/>
  <c r="P15" i="2" s="1"/>
  <c r="M250" i="2"/>
  <c r="P275" i="2"/>
  <c r="J649" i="1"/>
  <c r="L640" i="2"/>
  <c r="L665" i="1"/>
  <c r="O665" i="2"/>
  <c r="J671" i="2"/>
  <c r="L34" i="3"/>
  <c r="O141" i="3"/>
  <c r="L31" i="3"/>
  <c r="L11" i="3" s="1"/>
  <c r="O382" i="3"/>
  <c r="O383" i="4"/>
  <c r="L32" i="4"/>
  <c r="O291" i="5"/>
  <c r="L331" i="5"/>
  <c r="P24" i="6"/>
  <c r="M14" i="6"/>
  <c r="P14" i="6" s="1"/>
  <c r="O384" i="8"/>
  <c r="L33" i="8"/>
  <c r="O33" i="8" s="1"/>
  <c r="N34" i="8"/>
  <c r="N14" i="8" s="1"/>
  <c r="O439" i="8"/>
  <c r="M220" i="10"/>
  <c r="P221" i="10"/>
  <c r="L292" i="13"/>
  <c r="O122" i="17"/>
  <c r="L120" i="17"/>
  <c r="N29" i="18"/>
  <c r="N11" i="18"/>
  <c r="N9" i="18" s="1"/>
  <c r="O354" i="18"/>
  <c r="L34" i="18"/>
  <c r="O383" i="18"/>
  <c r="L32" i="18"/>
  <c r="K619" i="2"/>
  <c r="K617" i="2"/>
  <c r="K615" i="2"/>
  <c r="K613" i="2"/>
  <c r="K611" i="2"/>
  <c r="K618" i="2"/>
  <c r="K616" i="2"/>
  <c r="K614" i="2"/>
  <c r="K612" i="2"/>
  <c r="L222" i="5"/>
  <c r="O222" i="5" s="1"/>
  <c r="P42" i="6"/>
  <c r="K371" i="9"/>
  <c r="I367" i="9"/>
  <c r="K367" i="9" s="1"/>
  <c r="N221" i="1"/>
  <c r="L277" i="1"/>
  <c r="M314" i="1"/>
  <c r="I341" i="1"/>
  <c r="I343" i="1"/>
  <c r="M14" i="1"/>
  <c r="P14" i="1" s="1"/>
  <c r="I65" i="1"/>
  <c r="I87" i="1"/>
  <c r="J158" i="1"/>
  <c r="I201" i="1"/>
  <c r="J264" i="1"/>
  <c r="I309" i="1"/>
  <c r="K309" i="1" s="1"/>
  <c r="I328" i="1"/>
  <c r="N333" i="1"/>
  <c r="I369" i="1"/>
  <c r="I371" i="1"/>
  <c r="K371" i="1" s="1"/>
  <c r="N403" i="1"/>
  <c r="L438" i="1"/>
  <c r="O438" i="1" s="1"/>
  <c r="I533" i="1"/>
  <c r="K533" i="1" s="1"/>
  <c r="L534" i="1"/>
  <c r="O534" i="1" s="1"/>
  <c r="L536" i="1"/>
  <c r="O536" i="1" s="1"/>
  <c r="I573" i="1"/>
  <c r="I576" i="1"/>
  <c r="K576" i="1" s="1"/>
  <c r="I580" i="1"/>
  <c r="L581" i="1"/>
  <c r="O581" i="1" s="1"/>
  <c r="I594" i="1"/>
  <c r="K594" i="1" s="1"/>
  <c r="L599" i="1"/>
  <c r="O599" i="1" s="1"/>
  <c r="N648" i="1"/>
  <c r="M9" i="2"/>
  <c r="L24" i="2"/>
  <c r="L32" i="2"/>
  <c r="M142" i="2"/>
  <c r="M312" i="2"/>
  <c r="O537" i="2"/>
  <c r="I597" i="1"/>
  <c r="N602" i="1"/>
  <c r="J609" i="1"/>
  <c r="I616" i="1"/>
  <c r="I622" i="1"/>
  <c r="I629" i="1"/>
  <c r="K629" i="2"/>
  <c r="I635" i="1"/>
  <c r="K635" i="2"/>
  <c r="M9" i="3"/>
  <c r="O19" i="3"/>
  <c r="L24" i="3"/>
  <c r="K149" i="3"/>
  <c r="P33" i="4"/>
  <c r="N26" i="4"/>
  <c r="N16" i="4" s="1"/>
  <c r="N43" i="4"/>
  <c r="O221" i="4"/>
  <c r="M312" i="4"/>
  <c r="P312" i="4" s="1"/>
  <c r="N33" i="4"/>
  <c r="N13" i="4" s="1"/>
  <c r="P25" i="5"/>
  <c r="M15" i="5"/>
  <c r="P15" i="5" s="1"/>
  <c r="O54" i="5"/>
  <c r="P98" i="5"/>
  <c r="M22" i="5"/>
  <c r="K328" i="5"/>
  <c r="O650" i="5"/>
  <c r="L640" i="5"/>
  <c r="N43" i="6"/>
  <c r="N41" i="6" s="1"/>
  <c r="N22" i="6"/>
  <c r="K173" i="6"/>
  <c r="P221" i="6"/>
  <c r="M220" i="6"/>
  <c r="K343" i="6"/>
  <c r="O459" i="6"/>
  <c r="L34" i="6"/>
  <c r="N644" i="6"/>
  <c r="N640" i="6" s="1"/>
  <c r="N638" i="6" s="1"/>
  <c r="N636" i="6" s="1"/>
  <c r="O649" i="6"/>
  <c r="P291" i="7"/>
  <c r="P311" i="7"/>
  <c r="P275" i="8"/>
  <c r="N22" i="8"/>
  <c r="P275" i="9"/>
  <c r="M273" i="9"/>
  <c r="P273" i="9" s="1"/>
  <c r="L314" i="9"/>
  <c r="L24" i="9"/>
  <c r="N31" i="9"/>
  <c r="N29" i="9" s="1"/>
  <c r="N34" i="9"/>
  <c r="N14" i="9" s="1"/>
  <c r="O141" i="7"/>
  <c r="O436" i="9"/>
  <c r="L31" i="9"/>
  <c r="J229" i="1"/>
  <c r="J249" i="1"/>
  <c r="L296" i="1"/>
  <c r="M45" i="1"/>
  <c r="L61" i="1"/>
  <c r="M13" i="1"/>
  <c r="P13" i="1" s="1"/>
  <c r="L123" i="1"/>
  <c r="I164" i="1"/>
  <c r="K164" i="1" s="1"/>
  <c r="I176" i="1"/>
  <c r="N224" i="1"/>
  <c r="L228" i="1"/>
  <c r="O228" i="1" s="1"/>
  <c r="M251" i="1"/>
  <c r="P251" i="1" s="1"/>
  <c r="N275" i="1"/>
  <c r="L279" i="1"/>
  <c r="O279" i="1" s="1"/>
  <c r="I289" i="1"/>
  <c r="L298" i="1"/>
  <c r="I306" i="1"/>
  <c r="I420" i="1"/>
  <c r="I426" i="1"/>
  <c r="I432" i="1"/>
  <c r="J435" i="1"/>
  <c r="L459" i="1"/>
  <c r="L555" i="1"/>
  <c r="I634" i="1"/>
  <c r="L668" i="1"/>
  <c r="O668" i="1" s="1"/>
  <c r="P11" i="2"/>
  <c r="L23" i="2"/>
  <c r="L26" i="2"/>
  <c r="P32" i="2"/>
  <c r="M30" i="2"/>
  <c r="M43" i="2"/>
  <c r="P221" i="2"/>
  <c r="P224" i="2"/>
  <c r="M292" i="2"/>
  <c r="M290" i="2" s="1"/>
  <c r="K345" i="2"/>
  <c r="L34" i="2"/>
  <c r="O401" i="2"/>
  <c r="K450" i="2"/>
  <c r="K473" i="2"/>
  <c r="K497" i="2"/>
  <c r="O535" i="2"/>
  <c r="J622" i="1"/>
  <c r="J629" i="1"/>
  <c r="J635" i="1"/>
  <c r="I663" i="1"/>
  <c r="K663" i="2"/>
  <c r="P19" i="3"/>
  <c r="L45" i="3"/>
  <c r="M142" i="3"/>
  <c r="K213" i="3"/>
  <c r="P330" i="3"/>
  <c r="L333" i="3"/>
  <c r="N32" i="3"/>
  <c r="N30" i="3" s="1"/>
  <c r="L640" i="3"/>
  <c r="O665" i="3"/>
  <c r="O49" i="4"/>
  <c r="O291" i="4"/>
  <c r="P31" i="5"/>
  <c r="M11" i="5"/>
  <c r="N34" i="5"/>
  <c r="N14" i="5" s="1"/>
  <c r="L23" i="6"/>
  <c r="L45" i="6"/>
  <c r="O54" i="6"/>
  <c r="O566" i="6"/>
  <c r="L32" i="6"/>
  <c r="O583" i="6"/>
  <c r="L33" i="6"/>
  <c r="O33" i="6" s="1"/>
  <c r="L45" i="7"/>
  <c r="L23" i="7"/>
  <c r="P144" i="7"/>
  <c r="M142" i="7"/>
  <c r="M19" i="8"/>
  <c r="P21" i="8"/>
  <c r="M11" i="8"/>
  <c r="K625" i="2"/>
  <c r="K623" i="2"/>
  <c r="K621" i="2"/>
  <c r="I620" i="1"/>
  <c r="K626" i="2"/>
  <c r="K624" i="2"/>
  <c r="K622" i="2"/>
  <c r="K620" i="2"/>
  <c r="L100" i="1"/>
  <c r="M254" i="1"/>
  <c r="L291" i="1"/>
  <c r="O291" i="1" s="1"/>
  <c r="L315" i="1"/>
  <c r="J350" i="1"/>
  <c r="I368" i="1"/>
  <c r="I372" i="1"/>
  <c r="N406" i="1"/>
  <c r="O406" i="1" s="1"/>
  <c r="L435" i="1"/>
  <c r="J466" i="1"/>
  <c r="L537" i="1"/>
  <c r="J564" i="1"/>
  <c r="K564" i="1" s="1"/>
  <c r="I577" i="1"/>
  <c r="K577" i="1" s="1"/>
  <c r="I579" i="1"/>
  <c r="K579" i="1" s="1"/>
  <c r="L582" i="1"/>
  <c r="O582" i="1" s="1"/>
  <c r="L584" i="1"/>
  <c r="I632" i="1"/>
  <c r="L33" i="2"/>
  <c r="O33" i="2" s="1"/>
  <c r="O95" i="2"/>
  <c r="O141" i="2"/>
  <c r="O311" i="2"/>
  <c r="N331" i="2"/>
  <c r="K341" i="2"/>
  <c r="I367" i="2"/>
  <c r="K367" i="2" s="1"/>
  <c r="O435" i="2"/>
  <c r="K481" i="2"/>
  <c r="O566" i="2"/>
  <c r="J614" i="1"/>
  <c r="J620" i="1"/>
  <c r="J626" i="1"/>
  <c r="J633" i="1"/>
  <c r="N644" i="2"/>
  <c r="N640" i="2" s="1"/>
  <c r="N638" i="2" s="1"/>
  <c r="N636" i="2" s="1"/>
  <c r="J651" i="2"/>
  <c r="P29" i="3"/>
  <c r="M28" i="3"/>
  <c r="P28" i="3" s="1"/>
  <c r="O49" i="3"/>
  <c r="O54" i="3"/>
  <c r="P57" i="3"/>
  <c r="N55" i="3"/>
  <c r="N53" i="3" s="1"/>
  <c r="N22" i="3"/>
  <c r="K189" i="3"/>
  <c r="M250" i="3"/>
  <c r="M310" i="3"/>
  <c r="P310" i="3" s="1"/>
  <c r="P311" i="3"/>
  <c r="N33" i="3"/>
  <c r="N13" i="3" s="1"/>
  <c r="L26" i="4"/>
  <c r="O61" i="4"/>
  <c r="O119" i="4"/>
  <c r="P311" i="4"/>
  <c r="N312" i="4"/>
  <c r="P333" i="4"/>
  <c r="O385" i="4"/>
  <c r="L34" i="4"/>
  <c r="K396" i="4"/>
  <c r="K593" i="4"/>
  <c r="L24" i="5"/>
  <c r="N273" i="5"/>
  <c r="O95" i="6"/>
  <c r="P141" i="6"/>
  <c r="M140" i="6"/>
  <c r="N31" i="6"/>
  <c r="P25" i="7"/>
  <c r="M15" i="7"/>
  <c r="P15" i="7" s="1"/>
  <c r="M19" i="7"/>
  <c r="P98" i="7"/>
  <c r="M96" i="7"/>
  <c r="O352" i="7"/>
  <c r="L32" i="7"/>
  <c r="O61" i="8"/>
  <c r="L26" i="8"/>
  <c r="N273" i="8"/>
  <c r="M220" i="9"/>
  <c r="P221" i="9"/>
  <c r="M337" i="9"/>
  <c r="M331" i="9" s="1"/>
  <c r="O337" i="9"/>
  <c r="I633" i="1"/>
  <c r="K633" i="2"/>
  <c r="P45" i="3"/>
  <c r="M43" i="3"/>
  <c r="P251" i="4"/>
  <c r="L30" i="5"/>
  <c r="O439" i="9"/>
  <c r="L34" i="9"/>
  <c r="O95" i="14"/>
  <c r="L145" i="1"/>
  <c r="I249" i="1"/>
  <c r="N330" i="1"/>
  <c r="J368" i="1"/>
  <c r="I417" i="1"/>
  <c r="I423" i="1"/>
  <c r="I429" i="1"/>
  <c r="I455" i="1"/>
  <c r="L456" i="1"/>
  <c r="L552" i="1"/>
  <c r="O552" i="1" s="1"/>
  <c r="I591" i="1"/>
  <c r="J632" i="1"/>
  <c r="J674" i="1"/>
  <c r="N22" i="2"/>
  <c r="O25" i="2"/>
  <c r="L15" i="2"/>
  <c r="O15" i="2" s="1"/>
  <c r="P57" i="2"/>
  <c r="M22" i="2"/>
  <c r="K117" i="2"/>
  <c r="P254" i="2"/>
  <c r="K264" i="2"/>
  <c r="O279" i="2"/>
  <c r="K375" i="2"/>
  <c r="O564" i="2"/>
  <c r="I631" i="1"/>
  <c r="K631" i="2"/>
  <c r="O21" i="3"/>
  <c r="L23" i="3"/>
  <c r="P224" i="3"/>
  <c r="M222" i="3"/>
  <c r="M220" i="3" s="1"/>
  <c r="O384" i="3"/>
  <c r="L33" i="3"/>
  <c r="O33" i="3" s="1"/>
  <c r="K628" i="3"/>
  <c r="K634" i="3"/>
  <c r="P25" i="4"/>
  <c r="M15" i="4"/>
  <c r="P15" i="4" s="1"/>
  <c r="M19" i="4"/>
  <c r="M55" i="4"/>
  <c r="P57" i="4"/>
  <c r="M22" i="4"/>
  <c r="L98" i="4"/>
  <c r="N142" i="4"/>
  <c r="K573" i="4"/>
  <c r="P122" i="5"/>
  <c r="N120" i="5"/>
  <c r="N118" i="5" s="1"/>
  <c r="K133" i="5"/>
  <c r="O221" i="5"/>
  <c r="O353" i="5"/>
  <c r="L33" i="5"/>
  <c r="O33" i="5" s="1"/>
  <c r="I367" i="5"/>
  <c r="K367" i="5" s="1"/>
  <c r="N644" i="5"/>
  <c r="N640" i="5" s="1"/>
  <c r="N638" i="5" s="1"/>
  <c r="N636" i="5" s="1"/>
  <c r="L55" i="6"/>
  <c r="L53" i="6" s="1"/>
  <c r="M250" i="6"/>
  <c r="P254" i="6"/>
  <c r="P291" i="6"/>
  <c r="L24" i="8"/>
  <c r="L98" i="8"/>
  <c r="P122" i="8"/>
  <c r="M120" i="8"/>
  <c r="P19" i="19"/>
  <c r="O61" i="7"/>
  <c r="L26" i="7"/>
  <c r="P141" i="7"/>
  <c r="M140" i="8"/>
  <c r="P141" i="8"/>
  <c r="M250" i="8"/>
  <c r="P250" i="8" s="1"/>
  <c r="P252" i="8"/>
  <c r="P29" i="9"/>
  <c r="O49" i="9"/>
  <c r="L26" i="9"/>
  <c r="M9" i="11"/>
  <c r="P11" i="11"/>
  <c r="P54" i="12"/>
  <c r="M14" i="3"/>
  <c r="P14" i="3" s="1"/>
  <c r="P74" i="3"/>
  <c r="O318" i="3"/>
  <c r="O404" i="3"/>
  <c r="K632" i="3"/>
  <c r="K93" i="4"/>
  <c r="M118" i="4"/>
  <c r="L33" i="4"/>
  <c r="O33" i="4" s="1"/>
  <c r="K419" i="4"/>
  <c r="K425" i="4"/>
  <c r="K431" i="4"/>
  <c r="K591" i="4"/>
  <c r="K597" i="4"/>
  <c r="K630" i="4"/>
  <c r="O661" i="4"/>
  <c r="N26" i="5"/>
  <c r="N16" i="5" s="1"/>
  <c r="N55" i="5"/>
  <c r="P55" i="5" s="1"/>
  <c r="N22" i="5"/>
  <c r="O347" i="5"/>
  <c r="N32" i="5"/>
  <c r="N30" i="5" s="1"/>
  <c r="O406" i="5"/>
  <c r="L34" i="5"/>
  <c r="K449" i="5"/>
  <c r="O61" i="6"/>
  <c r="L26" i="6"/>
  <c r="K88" i="6"/>
  <c r="N252" i="6"/>
  <c r="N250" i="6" s="1"/>
  <c r="L333" i="6"/>
  <c r="N33" i="6"/>
  <c r="N13" i="6" s="1"/>
  <c r="K419" i="6"/>
  <c r="K573" i="6"/>
  <c r="K164" i="7"/>
  <c r="N222" i="7"/>
  <c r="N220" i="7" s="1"/>
  <c r="P333" i="7"/>
  <c r="M331" i="7"/>
  <c r="O459" i="7"/>
  <c r="L23" i="8"/>
  <c r="P42" i="10"/>
  <c r="N22" i="10"/>
  <c r="P275" i="10"/>
  <c r="M273" i="10"/>
  <c r="P291" i="10"/>
  <c r="K397" i="3"/>
  <c r="K401" i="3"/>
  <c r="K435" i="3"/>
  <c r="K573" i="3"/>
  <c r="K619" i="3"/>
  <c r="K617" i="3"/>
  <c r="K615" i="3"/>
  <c r="K613" i="3"/>
  <c r="K611" i="3"/>
  <c r="K618" i="3"/>
  <c r="K616" i="3"/>
  <c r="K614" i="3"/>
  <c r="K612" i="3"/>
  <c r="K625" i="3"/>
  <c r="K623" i="3"/>
  <c r="K621" i="3"/>
  <c r="K626" i="3"/>
  <c r="K624" i="3"/>
  <c r="K622" i="3"/>
  <c r="K620" i="3"/>
  <c r="K630" i="3"/>
  <c r="K650" i="3"/>
  <c r="M68" i="4"/>
  <c r="P95" i="4"/>
  <c r="N22" i="4"/>
  <c r="K186" i="4"/>
  <c r="K216" i="4"/>
  <c r="K285" i="4"/>
  <c r="O353" i="4"/>
  <c r="N32" i="4"/>
  <c r="N30" i="4" s="1"/>
  <c r="K417" i="4"/>
  <c r="K423" i="4"/>
  <c r="K429" i="4"/>
  <c r="K595" i="4"/>
  <c r="K619" i="4"/>
  <c r="L57" i="5"/>
  <c r="P294" i="5"/>
  <c r="N292" i="5"/>
  <c r="N290" i="5" s="1"/>
  <c r="O330" i="5"/>
  <c r="K340" i="5"/>
  <c r="J671" i="5"/>
  <c r="O21" i="6"/>
  <c r="L19" i="6"/>
  <c r="M13" i="6"/>
  <c r="P13" i="6" s="1"/>
  <c r="N26" i="6"/>
  <c r="O347" i="6"/>
  <c r="K533" i="6"/>
  <c r="O42" i="7"/>
  <c r="N55" i="7"/>
  <c r="N53" i="7" s="1"/>
  <c r="N22" i="7"/>
  <c r="O221" i="7"/>
  <c r="K416" i="7"/>
  <c r="K432" i="7"/>
  <c r="P330" i="8"/>
  <c r="L32" i="8"/>
  <c r="O383" i="8"/>
  <c r="M30" i="9"/>
  <c r="P30" i="9" s="1"/>
  <c r="P32" i="9"/>
  <c r="O438" i="9"/>
  <c r="L33" i="9"/>
  <c r="O33" i="9" s="1"/>
  <c r="M16" i="10"/>
  <c r="O74" i="10"/>
  <c r="L23" i="10"/>
  <c r="L98" i="10"/>
  <c r="M142" i="10"/>
  <c r="O330" i="10"/>
  <c r="L70" i="11"/>
  <c r="L23" i="11"/>
  <c r="O67" i="12"/>
  <c r="P98" i="12"/>
  <c r="N22" i="12"/>
  <c r="N96" i="12"/>
  <c r="N94" i="12" s="1"/>
  <c r="O119" i="12"/>
  <c r="P331" i="3"/>
  <c r="K665" i="3"/>
  <c r="P49" i="4"/>
  <c r="M43" i="4"/>
  <c r="L70" i="4"/>
  <c r="L23" i="4"/>
  <c r="K138" i="4"/>
  <c r="M271" i="4"/>
  <c r="K328" i="4"/>
  <c r="K381" i="4"/>
  <c r="K455" i="4"/>
  <c r="L640" i="4"/>
  <c r="O19" i="5"/>
  <c r="M102" i="5"/>
  <c r="M96" i="5" s="1"/>
  <c r="O102" i="5"/>
  <c r="M337" i="5"/>
  <c r="O337" i="5"/>
  <c r="K368" i="5"/>
  <c r="O456" i="5"/>
  <c r="L31" i="5"/>
  <c r="M19" i="6"/>
  <c r="M11" i="6"/>
  <c r="P45" i="6"/>
  <c r="M43" i="6"/>
  <c r="M22" i="6"/>
  <c r="K84" i="6"/>
  <c r="N120" i="6"/>
  <c r="N118" i="6" s="1"/>
  <c r="K201" i="6"/>
  <c r="K345" i="6"/>
  <c r="K375" i="6"/>
  <c r="K423" i="6"/>
  <c r="K431" i="6"/>
  <c r="K465" i="6"/>
  <c r="K481" i="6"/>
  <c r="L98" i="7"/>
  <c r="O298" i="7"/>
  <c r="L34" i="7"/>
  <c r="O354" i="7"/>
  <c r="O455" i="7"/>
  <c r="N15" i="8"/>
  <c r="N19" i="8"/>
  <c r="N26" i="10"/>
  <c r="N16" i="10" s="1"/>
  <c r="N43" i="10"/>
  <c r="N41" i="10" s="1"/>
  <c r="M22" i="10"/>
  <c r="O353" i="10"/>
  <c r="L33" i="10"/>
  <c r="O33" i="10" s="1"/>
  <c r="M29" i="4"/>
  <c r="K611" i="4"/>
  <c r="K613" i="4"/>
  <c r="K615" i="4"/>
  <c r="K617" i="4"/>
  <c r="K623" i="4"/>
  <c r="M220" i="5"/>
  <c r="P220" i="5" s="1"/>
  <c r="M290" i="5"/>
  <c r="L24" i="6"/>
  <c r="M329" i="6"/>
  <c r="O337" i="6"/>
  <c r="O380" i="6"/>
  <c r="K612" i="6"/>
  <c r="K614" i="6"/>
  <c r="K616" i="6"/>
  <c r="M11" i="7"/>
  <c r="M13" i="7"/>
  <c r="P13" i="7" s="1"/>
  <c r="N31" i="7"/>
  <c r="N29" i="7" s="1"/>
  <c r="N292" i="9"/>
  <c r="N290" i="9" s="1"/>
  <c r="P333" i="9"/>
  <c r="J651" i="9"/>
  <c r="O665" i="9"/>
  <c r="L640" i="9"/>
  <c r="L24" i="10"/>
  <c r="O279" i="10"/>
  <c r="O318" i="11"/>
  <c r="O349" i="5"/>
  <c r="N31" i="5"/>
  <c r="N29" i="5" s="1"/>
  <c r="K481" i="5"/>
  <c r="N55" i="6"/>
  <c r="N53" i="6" s="1"/>
  <c r="K85" i="6"/>
  <c r="P333" i="6"/>
  <c r="K420" i="6"/>
  <c r="K432" i="6"/>
  <c r="P32" i="7"/>
  <c r="M30" i="7"/>
  <c r="M220" i="7"/>
  <c r="K398" i="7"/>
  <c r="O126" i="8"/>
  <c r="M271" i="8"/>
  <c r="P272" i="8"/>
  <c r="P314" i="8"/>
  <c r="M312" i="8"/>
  <c r="K663" i="8"/>
  <c r="L23" i="9"/>
  <c r="L98" i="9"/>
  <c r="O141" i="9"/>
  <c r="O279" i="9"/>
  <c r="P291" i="9"/>
  <c r="P49" i="10"/>
  <c r="O352" i="10"/>
  <c r="L32" i="10"/>
  <c r="M19" i="5"/>
  <c r="O141" i="5"/>
  <c r="P314" i="5"/>
  <c r="K324" i="5"/>
  <c r="K343" i="5"/>
  <c r="K375" i="5"/>
  <c r="K499" i="5"/>
  <c r="O566" i="5"/>
  <c r="K65" i="6"/>
  <c r="L31" i="6"/>
  <c r="L11" i="6" s="1"/>
  <c r="K426" i="6"/>
  <c r="O455" i="6"/>
  <c r="O599" i="6"/>
  <c r="O25" i="7"/>
  <c r="L15" i="7"/>
  <c r="O15" i="7" s="1"/>
  <c r="P57" i="7"/>
  <c r="M22" i="7"/>
  <c r="K185" i="7"/>
  <c r="O435" i="7"/>
  <c r="M55" i="8"/>
  <c r="M22" i="8"/>
  <c r="K619" i="8"/>
  <c r="P9" i="9"/>
  <c r="M43" i="9"/>
  <c r="M22" i="9"/>
  <c r="O67" i="9"/>
  <c r="N26" i="9"/>
  <c r="N16" i="9" s="1"/>
  <c r="P224" i="9"/>
  <c r="N222" i="9"/>
  <c r="K401" i="9"/>
  <c r="O406" i="9"/>
  <c r="N644" i="9"/>
  <c r="N640" i="9" s="1"/>
  <c r="N638" i="9" s="1"/>
  <c r="N636" i="9" s="1"/>
  <c r="L19" i="10"/>
  <c r="M29" i="11"/>
  <c r="P31" i="11"/>
  <c r="P45" i="11"/>
  <c r="N43" i="11"/>
  <c r="N41" i="11" s="1"/>
  <c r="M118" i="11"/>
  <c r="P118" i="11" s="1"/>
  <c r="P120" i="11"/>
  <c r="P9" i="12"/>
  <c r="L24" i="13"/>
  <c r="L70" i="13"/>
  <c r="P45" i="8"/>
  <c r="K164" i="8"/>
  <c r="L252" i="8"/>
  <c r="O252" i="8" s="1"/>
  <c r="O254" i="8"/>
  <c r="K435" i="8"/>
  <c r="K533" i="8"/>
  <c r="K573" i="8"/>
  <c r="N644" i="8"/>
  <c r="N640" i="8" s="1"/>
  <c r="N638" i="8" s="1"/>
  <c r="N636" i="8" s="1"/>
  <c r="O665" i="8"/>
  <c r="O74" i="9"/>
  <c r="L68" i="9"/>
  <c r="O68" i="9" s="1"/>
  <c r="O401" i="9"/>
  <c r="O404" i="9"/>
  <c r="K668" i="9"/>
  <c r="K229" i="10"/>
  <c r="O385" i="10"/>
  <c r="O649" i="10"/>
  <c r="L640" i="10"/>
  <c r="O600" i="11"/>
  <c r="L33" i="11"/>
  <c r="O33" i="11" s="1"/>
  <c r="M22" i="12"/>
  <c r="P70" i="12"/>
  <c r="M68" i="12"/>
  <c r="O25" i="13"/>
  <c r="L15" i="13"/>
  <c r="O15" i="13" s="1"/>
  <c r="L19" i="13"/>
  <c r="M41" i="8"/>
  <c r="N43" i="8"/>
  <c r="N41" i="8" s="1"/>
  <c r="P333" i="8"/>
  <c r="O382" i="8"/>
  <c r="L31" i="8"/>
  <c r="O385" i="8"/>
  <c r="L34" i="8"/>
  <c r="K397" i="8"/>
  <c r="K630" i="8"/>
  <c r="K633" i="8"/>
  <c r="O671" i="8"/>
  <c r="L640" i="8"/>
  <c r="O437" i="9"/>
  <c r="L32" i="9"/>
  <c r="K547" i="9"/>
  <c r="O568" i="9"/>
  <c r="K618" i="9"/>
  <c r="K616" i="9"/>
  <c r="K614" i="9"/>
  <c r="K612" i="9"/>
  <c r="K619" i="9"/>
  <c r="K617" i="9"/>
  <c r="K615" i="9"/>
  <c r="K613" i="9"/>
  <c r="K611" i="9"/>
  <c r="K626" i="9"/>
  <c r="K624" i="9"/>
  <c r="K622" i="9"/>
  <c r="K620" i="9"/>
  <c r="K625" i="9"/>
  <c r="K623" i="9"/>
  <c r="K621" i="9"/>
  <c r="J671" i="9"/>
  <c r="M66" i="10"/>
  <c r="O351" i="10"/>
  <c r="L31" i="10"/>
  <c r="L11" i="10" s="1"/>
  <c r="L34" i="10"/>
  <c r="O354" i="10"/>
  <c r="O383" i="10"/>
  <c r="L26" i="13"/>
  <c r="O102" i="13"/>
  <c r="M41" i="11"/>
  <c r="O382" i="11"/>
  <c r="L31" i="11"/>
  <c r="O385" i="11"/>
  <c r="L34" i="11"/>
  <c r="O272" i="12"/>
  <c r="M16" i="13"/>
  <c r="P11" i="14"/>
  <c r="M9" i="14"/>
  <c r="P42" i="8"/>
  <c r="O95" i="8"/>
  <c r="P119" i="8"/>
  <c r="K612" i="8"/>
  <c r="K614" i="8"/>
  <c r="K616" i="8"/>
  <c r="K618" i="8"/>
  <c r="K620" i="8"/>
  <c r="K622" i="8"/>
  <c r="K624" i="8"/>
  <c r="M14" i="9"/>
  <c r="P14" i="9" s="1"/>
  <c r="N22" i="9"/>
  <c r="P67" i="9"/>
  <c r="O251" i="9"/>
  <c r="P272" i="9"/>
  <c r="P45" i="10"/>
  <c r="O49" i="10"/>
  <c r="P67" i="10"/>
  <c r="O251" i="10"/>
  <c r="P272" i="10"/>
  <c r="O311" i="10"/>
  <c r="K416" i="10"/>
  <c r="K422" i="10"/>
  <c r="K428" i="10"/>
  <c r="K597" i="10"/>
  <c r="O599" i="10"/>
  <c r="O258" i="11"/>
  <c r="K396" i="11"/>
  <c r="O49" i="12"/>
  <c r="L26" i="12"/>
  <c r="K219" i="12"/>
  <c r="N32" i="12"/>
  <c r="N30" i="12" s="1"/>
  <c r="O458" i="12"/>
  <c r="L33" i="12"/>
  <c r="O33" i="12" s="1"/>
  <c r="M53" i="14"/>
  <c r="M55" i="11"/>
  <c r="M22" i="11"/>
  <c r="K149" i="11"/>
  <c r="K435" i="11"/>
  <c r="O437" i="11"/>
  <c r="K533" i="11"/>
  <c r="O535" i="11"/>
  <c r="K573" i="11"/>
  <c r="K628" i="11"/>
  <c r="K631" i="11"/>
  <c r="K634" i="11"/>
  <c r="K112" i="12"/>
  <c r="K618" i="12"/>
  <c r="K616" i="12"/>
  <c r="K614" i="12"/>
  <c r="K612" i="12"/>
  <c r="K617" i="12"/>
  <c r="K619" i="12"/>
  <c r="K611" i="12"/>
  <c r="K613" i="12"/>
  <c r="P11" i="13"/>
  <c r="L34" i="13"/>
  <c r="O34" i="13" s="1"/>
  <c r="O354" i="13"/>
  <c r="O565" i="13"/>
  <c r="L31" i="13"/>
  <c r="P119" i="14"/>
  <c r="L19" i="8"/>
  <c r="K611" i="8"/>
  <c r="K613" i="8"/>
  <c r="K615" i="8"/>
  <c r="K617" i="8"/>
  <c r="N19" i="9"/>
  <c r="M9" i="10"/>
  <c r="M29" i="10"/>
  <c r="P57" i="10"/>
  <c r="N26" i="11"/>
  <c r="N16" i="11" s="1"/>
  <c r="P57" i="11"/>
  <c r="P141" i="11"/>
  <c r="K235" i="11"/>
  <c r="P272" i="11"/>
  <c r="O435" i="11"/>
  <c r="O533" i="11"/>
  <c r="K629" i="11"/>
  <c r="K632" i="11"/>
  <c r="K635" i="11"/>
  <c r="K110" i="12"/>
  <c r="M120" i="12"/>
  <c r="K149" i="12"/>
  <c r="N31" i="12"/>
  <c r="P119" i="13"/>
  <c r="N22" i="14"/>
  <c r="P57" i="14"/>
  <c r="N55" i="14"/>
  <c r="L15" i="9"/>
  <c r="O15" i="9" s="1"/>
  <c r="M14" i="10"/>
  <c r="P14" i="10" s="1"/>
  <c r="L26" i="10"/>
  <c r="K402" i="10"/>
  <c r="K418" i="10"/>
  <c r="K424" i="10"/>
  <c r="K430" i="10"/>
  <c r="O671" i="10"/>
  <c r="P21" i="11"/>
  <c r="L26" i="11"/>
  <c r="K219" i="11"/>
  <c r="L32" i="11"/>
  <c r="O383" i="11"/>
  <c r="K398" i="11"/>
  <c r="O122" i="12"/>
  <c r="L120" i="12"/>
  <c r="P141" i="12"/>
  <c r="K164" i="12"/>
  <c r="K204" i="12"/>
  <c r="P311" i="12"/>
  <c r="O601" i="12"/>
  <c r="N34" i="12"/>
  <c r="P272" i="13"/>
  <c r="N273" i="13"/>
  <c r="N271" i="13" s="1"/>
  <c r="M331" i="13"/>
  <c r="P337" i="13"/>
  <c r="O457" i="13"/>
  <c r="N32" i="13"/>
  <c r="N30" i="13" s="1"/>
  <c r="M30" i="11"/>
  <c r="P30" i="11" s="1"/>
  <c r="K612" i="11"/>
  <c r="K614" i="11"/>
  <c r="K616" i="11"/>
  <c r="K618" i="11"/>
  <c r="K620" i="11"/>
  <c r="K622" i="11"/>
  <c r="K624" i="11"/>
  <c r="K626" i="11"/>
  <c r="O665" i="11"/>
  <c r="O279" i="12"/>
  <c r="N644" i="12"/>
  <c r="N640" i="12" s="1"/>
  <c r="N638" i="12" s="1"/>
  <c r="N636" i="12" s="1"/>
  <c r="O54" i="13"/>
  <c r="N22" i="13"/>
  <c r="N55" i="13"/>
  <c r="N53" i="13" s="1"/>
  <c r="N331" i="13"/>
  <c r="N329" i="13" s="1"/>
  <c r="O337" i="13"/>
  <c r="P24" i="14"/>
  <c r="M14" i="14"/>
  <c r="P14" i="14" s="1"/>
  <c r="O54" i="14"/>
  <c r="N26" i="14"/>
  <c r="N16" i="14" s="1"/>
  <c r="P98" i="14"/>
  <c r="M22" i="14"/>
  <c r="M15" i="11"/>
  <c r="P15" i="11" s="1"/>
  <c r="M13" i="12"/>
  <c r="P13" i="12" s="1"/>
  <c r="M55" i="12"/>
  <c r="M250" i="12"/>
  <c r="K421" i="12"/>
  <c r="K427" i="12"/>
  <c r="O650" i="12"/>
  <c r="O668" i="12"/>
  <c r="P57" i="13"/>
  <c r="P67" i="13"/>
  <c r="M66" i="13"/>
  <c r="M96" i="13"/>
  <c r="K219" i="13"/>
  <c r="K235" i="13"/>
  <c r="M252" i="13"/>
  <c r="P252" i="13" s="1"/>
  <c r="L33" i="13"/>
  <c r="O33" i="13" s="1"/>
  <c r="O567" i="13"/>
  <c r="O597" i="13"/>
  <c r="K611" i="11"/>
  <c r="K613" i="11"/>
  <c r="K615" i="11"/>
  <c r="K617" i="11"/>
  <c r="K621" i="11"/>
  <c r="K623" i="11"/>
  <c r="K266" i="12"/>
  <c r="M292" i="12"/>
  <c r="P292" i="12" s="1"/>
  <c r="K419" i="12"/>
  <c r="K425" i="12"/>
  <c r="K431" i="12"/>
  <c r="O649" i="12"/>
  <c r="O661" i="12"/>
  <c r="P24" i="13"/>
  <c r="M14" i="13"/>
  <c r="P14" i="13" s="1"/>
  <c r="P42" i="13"/>
  <c r="M41" i="13"/>
  <c r="N26" i="13"/>
  <c r="N16" i="13" s="1"/>
  <c r="K81" i="13"/>
  <c r="K87" i="13"/>
  <c r="K173" i="13"/>
  <c r="O251" i="13"/>
  <c r="M96" i="14"/>
  <c r="K173" i="14"/>
  <c r="P254" i="12"/>
  <c r="K264" i="12"/>
  <c r="O383" i="12"/>
  <c r="O566" i="12"/>
  <c r="O651" i="12"/>
  <c r="P31" i="13"/>
  <c r="M29" i="13"/>
  <c r="O95" i="13"/>
  <c r="K204" i="13"/>
  <c r="P31" i="14"/>
  <c r="M29" i="14"/>
  <c r="L26" i="14"/>
  <c r="O102" i="14"/>
  <c r="O19" i="14"/>
  <c r="M30" i="14"/>
  <c r="P30" i="14" s="1"/>
  <c r="L23" i="15"/>
  <c r="L57" i="15"/>
  <c r="M220" i="15"/>
  <c r="L31" i="15"/>
  <c r="O351" i="15"/>
  <c r="N32" i="15"/>
  <c r="N30" i="15" s="1"/>
  <c r="O383" i="15"/>
  <c r="O568" i="15"/>
  <c r="L34" i="15"/>
  <c r="P21" i="16"/>
  <c r="M11" i="16"/>
  <c r="M19" i="16"/>
  <c r="P144" i="16"/>
  <c r="M22" i="16"/>
  <c r="M142" i="16"/>
  <c r="O25" i="17"/>
  <c r="L15" i="17"/>
  <c r="O15" i="17" s="1"/>
  <c r="L19" i="17"/>
  <c r="I367" i="14"/>
  <c r="K367" i="14" s="1"/>
  <c r="K401" i="14"/>
  <c r="O406" i="14"/>
  <c r="O298" i="15"/>
  <c r="P311" i="15"/>
  <c r="L32" i="15"/>
  <c r="O566" i="15"/>
  <c r="K612" i="13"/>
  <c r="K614" i="13"/>
  <c r="K616" i="13"/>
  <c r="K620" i="13"/>
  <c r="K622" i="13"/>
  <c r="K624" i="13"/>
  <c r="M49" i="14"/>
  <c r="M43" i="14" s="1"/>
  <c r="L640" i="14"/>
  <c r="O665" i="14"/>
  <c r="O221" i="15"/>
  <c r="O228" i="15"/>
  <c r="L26" i="15"/>
  <c r="P251" i="15"/>
  <c r="M250" i="15"/>
  <c r="N26" i="15"/>
  <c r="N16" i="15" s="1"/>
  <c r="O291" i="15"/>
  <c r="O568" i="16"/>
  <c r="N34" i="16"/>
  <c r="N14" i="16" s="1"/>
  <c r="M15" i="13"/>
  <c r="P15" i="13" s="1"/>
  <c r="O404" i="14"/>
  <c r="K649" i="14"/>
  <c r="P23" i="15"/>
  <c r="M13" i="15"/>
  <c r="P13" i="15" s="1"/>
  <c r="P30" i="15"/>
  <c r="M28" i="15"/>
  <c r="P28" i="15" s="1"/>
  <c r="P254" i="15"/>
  <c r="L640" i="15"/>
  <c r="O648" i="15"/>
  <c r="P333" i="16"/>
  <c r="O330" i="17"/>
  <c r="K474" i="14"/>
  <c r="K498" i="14"/>
  <c r="K625" i="14"/>
  <c r="K623" i="14"/>
  <c r="K621" i="14"/>
  <c r="K626" i="14"/>
  <c r="K624" i="14"/>
  <c r="K622" i="14"/>
  <c r="K620" i="14"/>
  <c r="P224" i="15"/>
  <c r="M22" i="15"/>
  <c r="N22" i="15"/>
  <c r="O353" i="15"/>
  <c r="L33" i="15"/>
  <c r="O33" i="15" s="1"/>
  <c r="N34" i="15"/>
  <c r="N14" i="15" s="1"/>
  <c r="O385" i="15"/>
  <c r="O54" i="16"/>
  <c r="O330" i="16"/>
  <c r="P42" i="17"/>
  <c r="P221" i="17"/>
  <c r="L19" i="16"/>
  <c r="O54" i="17"/>
  <c r="N22" i="17"/>
  <c r="N55" i="17"/>
  <c r="N53" i="17" s="1"/>
  <c r="O141" i="17"/>
  <c r="L142" i="17"/>
  <c r="L26" i="17"/>
  <c r="O148" i="17"/>
  <c r="L34" i="17"/>
  <c r="O354" i="17"/>
  <c r="N32" i="17"/>
  <c r="N30" i="17" s="1"/>
  <c r="O457" i="17"/>
  <c r="O19" i="18"/>
  <c r="K612" i="14"/>
  <c r="K614" i="14"/>
  <c r="K616" i="14"/>
  <c r="K618" i="14"/>
  <c r="M337" i="15"/>
  <c r="L31" i="16"/>
  <c r="O95" i="16"/>
  <c r="L96" i="16"/>
  <c r="O102" i="16"/>
  <c r="M102" i="16"/>
  <c r="N644" i="16"/>
  <c r="N640" i="16" s="1"/>
  <c r="N638" i="16" s="1"/>
  <c r="N636" i="16" s="1"/>
  <c r="K65" i="17"/>
  <c r="L70" i="17"/>
  <c r="K264" i="17"/>
  <c r="L19" i="15"/>
  <c r="M140" i="15"/>
  <c r="K611" i="15"/>
  <c r="K613" i="15"/>
  <c r="K615" i="15"/>
  <c r="K617" i="15"/>
  <c r="K621" i="15"/>
  <c r="K623" i="15"/>
  <c r="N19" i="16"/>
  <c r="M53" i="16"/>
  <c r="P221" i="16"/>
  <c r="M220" i="16"/>
  <c r="I367" i="16"/>
  <c r="K367" i="16" s="1"/>
  <c r="M16" i="17"/>
  <c r="L23" i="17"/>
  <c r="L98" i="17"/>
  <c r="M22" i="17"/>
  <c r="P144" i="17"/>
  <c r="P291" i="17"/>
  <c r="N644" i="17"/>
  <c r="N640" i="17" s="1"/>
  <c r="N638" i="17" s="1"/>
  <c r="N636" i="17" s="1"/>
  <c r="O648" i="17"/>
  <c r="P222" i="18"/>
  <c r="O254" i="18"/>
  <c r="L252" i="18"/>
  <c r="O272" i="18"/>
  <c r="L15" i="16"/>
  <c r="O15" i="16" s="1"/>
  <c r="P57" i="16"/>
  <c r="O141" i="16"/>
  <c r="O148" i="16"/>
  <c r="P224" i="16"/>
  <c r="P291" i="16"/>
  <c r="K618" i="16"/>
  <c r="K616" i="16"/>
  <c r="K614" i="16"/>
  <c r="K612" i="16"/>
  <c r="K619" i="16"/>
  <c r="K617" i="16"/>
  <c r="K615" i="16"/>
  <c r="K613" i="16"/>
  <c r="K611" i="16"/>
  <c r="M331" i="17"/>
  <c r="K611" i="14"/>
  <c r="K613" i="14"/>
  <c r="K615" i="14"/>
  <c r="K617" i="14"/>
  <c r="N41" i="15"/>
  <c r="P42" i="16"/>
  <c r="M41" i="16"/>
  <c r="O337" i="16"/>
  <c r="M337" i="16"/>
  <c r="P337" i="16" s="1"/>
  <c r="K341" i="16"/>
  <c r="O347" i="16"/>
  <c r="K450" i="16"/>
  <c r="K499" i="16"/>
  <c r="O649" i="16"/>
  <c r="N19" i="17"/>
  <c r="M53" i="17"/>
  <c r="K117" i="17"/>
  <c r="K133" i="17"/>
  <c r="M140" i="17"/>
  <c r="K416" i="17"/>
  <c r="K422" i="17"/>
  <c r="K428" i="17"/>
  <c r="O536" i="17"/>
  <c r="L33" i="17"/>
  <c r="O33" i="17" s="1"/>
  <c r="O581" i="17"/>
  <c r="L31" i="17"/>
  <c r="L24" i="18"/>
  <c r="L45" i="18"/>
  <c r="P45" i="16"/>
  <c r="M19" i="17"/>
  <c r="O228" i="17"/>
  <c r="O298" i="17"/>
  <c r="L15" i="18"/>
  <c r="O25" i="18"/>
  <c r="N22" i="18"/>
  <c r="N55" i="18"/>
  <c r="N53" i="18" s="1"/>
  <c r="P53" i="18" s="1"/>
  <c r="L26" i="18"/>
  <c r="O148" i="18"/>
  <c r="K621" i="16"/>
  <c r="K623" i="16"/>
  <c r="K625" i="16"/>
  <c r="N68" i="17"/>
  <c r="N66" i="17" s="1"/>
  <c r="K498" i="17"/>
  <c r="K618" i="17"/>
  <c r="K616" i="17"/>
  <c r="K614" i="17"/>
  <c r="K612" i="17"/>
  <c r="K619" i="17"/>
  <c r="K617" i="17"/>
  <c r="K615" i="17"/>
  <c r="K613" i="17"/>
  <c r="K611" i="17"/>
  <c r="K626" i="17"/>
  <c r="K624" i="17"/>
  <c r="K622" i="17"/>
  <c r="K620" i="17"/>
  <c r="K625" i="17"/>
  <c r="K623" i="17"/>
  <c r="K621" i="17"/>
  <c r="L57" i="18"/>
  <c r="L23" i="18"/>
  <c r="K65" i="18"/>
  <c r="O74" i="18"/>
  <c r="M22" i="18"/>
  <c r="M337" i="18"/>
  <c r="P337" i="18" s="1"/>
  <c r="M96" i="19"/>
  <c r="M26" i="19"/>
  <c r="P102" i="19"/>
  <c r="O74" i="17"/>
  <c r="N220" i="18"/>
  <c r="K620" i="16"/>
  <c r="K622" i="16"/>
  <c r="K624" i="16"/>
  <c r="K650" i="17"/>
  <c r="O665" i="17"/>
  <c r="L640" i="17"/>
  <c r="M28" i="18"/>
  <c r="P28" i="18" s="1"/>
  <c r="P29" i="18"/>
  <c r="N26" i="18"/>
  <c r="N16" i="18" s="1"/>
  <c r="M140" i="18"/>
  <c r="P140" i="18" s="1"/>
  <c r="P221" i="18"/>
  <c r="P294" i="18"/>
  <c r="K324" i="18"/>
  <c r="O337" i="18"/>
  <c r="M19" i="18"/>
  <c r="M74" i="18"/>
  <c r="O347" i="18"/>
  <c r="K345" i="18"/>
  <c r="L15" i="19"/>
  <c r="O15" i="19" s="1"/>
  <c r="P42" i="19"/>
  <c r="O54" i="19"/>
  <c r="M66" i="19"/>
  <c r="O95" i="19"/>
  <c r="O102" i="19"/>
  <c r="O141" i="19"/>
  <c r="P221" i="19"/>
  <c r="P19" i="20"/>
  <c r="M9" i="19"/>
  <c r="M29" i="19"/>
  <c r="K612" i="18"/>
  <c r="K614" i="18"/>
  <c r="K616" i="18"/>
  <c r="K620" i="18"/>
  <c r="K622" i="18"/>
  <c r="K624" i="18"/>
  <c r="M14" i="19"/>
  <c r="P14" i="19" s="1"/>
  <c r="N22" i="19"/>
  <c r="L26" i="19"/>
  <c r="M43" i="19"/>
  <c r="O272" i="19"/>
  <c r="P311" i="19"/>
  <c r="L19" i="19"/>
  <c r="L312" i="19"/>
  <c r="O314" i="19"/>
  <c r="M16" i="20"/>
  <c r="K285" i="19"/>
  <c r="P337" i="19"/>
  <c r="M9" i="20"/>
  <c r="M29" i="20"/>
  <c r="M120" i="20"/>
  <c r="L26" i="21"/>
  <c r="O74" i="21"/>
  <c r="M74" i="21"/>
  <c r="P311" i="22"/>
  <c r="M14" i="20"/>
  <c r="P14" i="20" s="1"/>
  <c r="M43" i="20"/>
  <c r="P54" i="21"/>
  <c r="M53" i="21"/>
  <c r="O67" i="21"/>
  <c r="P32" i="22"/>
  <c r="M30" i="22"/>
  <c r="P30" i="22" s="1"/>
  <c r="L224" i="22"/>
  <c r="L23" i="22"/>
  <c r="M13" i="20"/>
  <c r="P13" i="20" s="1"/>
  <c r="L19" i="20"/>
  <c r="O126" i="20"/>
  <c r="P141" i="20"/>
  <c r="M140" i="20"/>
  <c r="K164" i="20"/>
  <c r="N331" i="19"/>
  <c r="O119" i="20"/>
  <c r="P29" i="21"/>
  <c r="P32" i="21"/>
  <c r="M30" i="21"/>
  <c r="P30" i="21" s="1"/>
  <c r="P57" i="20"/>
  <c r="M55" i="20"/>
  <c r="M331" i="20"/>
  <c r="P337" i="20"/>
  <c r="N22" i="21"/>
  <c r="N331" i="21"/>
  <c r="N329" i="21" s="1"/>
  <c r="O601" i="21"/>
  <c r="L34" i="21"/>
  <c r="O671" i="21"/>
  <c r="L640" i="21"/>
  <c r="O45" i="20"/>
  <c r="P330" i="20"/>
  <c r="P333" i="20"/>
  <c r="L640" i="20"/>
  <c r="O11" i="21"/>
  <c r="P19" i="21"/>
  <c r="P25" i="21"/>
  <c r="M15" i="21"/>
  <c r="P15" i="21" s="1"/>
  <c r="O31" i="21"/>
  <c r="L29" i="21"/>
  <c r="P330" i="21"/>
  <c r="O221" i="20"/>
  <c r="M11" i="21"/>
  <c r="O42" i="21"/>
  <c r="P57" i="21"/>
  <c r="P54" i="22"/>
  <c r="L15" i="21"/>
  <c r="O15" i="21" s="1"/>
  <c r="M118" i="21"/>
  <c r="N142" i="21"/>
  <c r="O144" i="22"/>
  <c r="L142" i="22"/>
  <c r="N22" i="22"/>
  <c r="N252" i="22"/>
  <c r="N250" i="22" s="1"/>
  <c r="L32" i="22"/>
  <c r="O437" i="22"/>
  <c r="M22" i="21"/>
  <c r="K88" i="21"/>
  <c r="M96" i="21"/>
  <c r="P96" i="21" s="1"/>
  <c r="P25" i="22"/>
  <c r="M15" i="22"/>
  <c r="P15" i="22" s="1"/>
  <c r="M331" i="21"/>
  <c r="M329" i="21" s="1"/>
  <c r="P337" i="21"/>
  <c r="P95" i="21"/>
  <c r="P333" i="21"/>
  <c r="P19" i="22"/>
  <c r="O353" i="22"/>
  <c r="L33" i="22"/>
  <c r="O33" i="22" s="1"/>
  <c r="O67" i="22"/>
  <c r="O291" i="22"/>
  <c r="K625" i="22"/>
  <c r="K623" i="22"/>
  <c r="K621" i="22"/>
  <c r="K626" i="22"/>
  <c r="K624" i="22"/>
  <c r="K622" i="22"/>
  <c r="K620" i="22"/>
  <c r="O337" i="21"/>
  <c r="O272" i="22"/>
  <c r="K402" i="22"/>
  <c r="M9" i="22"/>
  <c r="M29" i="22"/>
  <c r="O74" i="22"/>
  <c r="P95" i="22"/>
  <c r="M94" i="22"/>
  <c r="P94" i="22" s="1"/>
  <c r="O221" i="22"/>
  <c r="O640" i="22"/>
  <c r="L638" i="22"/>
  <c r="K612" i="21"/>
  <c r="K614" i="21"/>
  <c r="K616" i="21"/>
  <c r="K620" i="21"/>
  <c r="K622" i="21"/>
  <c r="K624" i="21"/>
  <c r="M14" i="22"/>
  <c r="P14" i="22" s="1"/>
  <c r="M68" i="22"/>
  <c r="P251" i="22"/>
  <c r="M273" i="22"/>
  <c r="O279" i="22"/>
  <c r="M292" i="22"/>
  <c r="P292" i="22" s="1"/>
  <c r="O648" i="22"/>
  <c r="K611" i="22"/>
  <c r="K613" i="22"/>
  <c r="K615" i="22"/>
  <c r="K617" i="22"/>
  <c r="O314" i="13" l="1"/>
  <c r="O254" i="15"/>
  <c r="O98" i="11"/>
  <c r="L292" i="4"/>
  <c r="O292" i="4" s="1"/>
  <c r="O254" i="13"/>
  <c r="P66" i="9"/>
  <c r="K466" i="1"/>
  <c r="L68" i="16"/>
  <c r="L68" i="7"/>
  <c r="K108" i="1"/>
  <c r="O68" i="21"/>
  <c r="K499" i="1"/>
  <c r="O314" i="8"/>
  <c r="L292" i="18"/>
  <c r="O45" i="22"/>
  <c r="K417" i="1"/>
  <c r="K306" i="1"/>
  <c r="K109" i="1"/>
  <c r="O122" i="4"/>
  <c r="O45" i="4"/>
  <c r="N329" i="14"/>
  <c r="P329" i="14" s="1"/>
  <c r="M331" i="11"/>
  <c r="P331" i="11" s="1"/>
  <c r="P254" i="1"/>
  <c r="O294" i="2"/>
  <c r="P55" i="16"/>
  <c r="O57" i="14"/>
  <c r="L96" i="13"/>
  <c r="O96" i="13" s="1"/>
  <c r="O294" i="10"/>
  <c r="P118" i="19"/>
  <c r="N53" i="21"/>
  <c r="P53" i="21" s="1"/>
  <c r="N140" i="14"/>
  <c r="P140" i="14" s="1"/>
  <c r="O45" i="5"/>
  <c r="L55" i="2"/>
  <c r="O55" i="2" s="1"/>
  <c r="K324" i="1"/>
  <c r="P43" i="21"/>
  <c r="L331" i="15"/>
  <c r="O331" i="15" s="1"/>
  <c r="L273" i="10"/>
  <c r="O273" i="10" s="1"/>
  <c r="O122" i="7"/>
  <c r="P43" i="2"/>
  <c r="P120" i="21"/>
  <c r="P252" i="3"/>
  <c r="K449" i="1"/>
  <c r="L292" i="7"/>
  <c r="L290" i="7" s="1"/>
  <c r="O290" i="7" s="1"/>
  <c r="P142" i="7"/>
  <c r="K420" i="1"/>
  <c r="M118" i="9"/>
  <c r="P118" i="9" s="1"/>
  <c r="P120" i="4"/>
  <c r="K375" i="1"/>
  <c r="M310" i="15"/>
  <c r="P310" i="15" s="1"/>
  <c r="L96" i="15"/>
  <c r="O96" i="15" s="1"/>
  <c r="M310" i="16"/>
  <c r="P310" i="16" s="1"/>
  <c r="O96" i="16"/>
  <c r="O57" i="16"/>
  <c r="L120" i="8"/>
  <c r="O120" i="8" s="1"/>
  <c r="K93" i="1"/>
  <c r="L331" i="9"/>
  <c r="L329" i="9" s="1"/>
  <c r="O329" i="9" s="1"/>
  <c r="P314" i="1"/>
  <c r="O31" i="12"/>
  <c r="L11" i="19"/>
  <c r="O11" i="19" s="1"/>
  <c r="M290" i="17"/>
  <c r="P290" i="17" s="1"/>
  <c r="L252" i="11"/>
  <c r="O252" i="11" s="1"/>
  <c r="O314" i="10"/>
  <c r="L29" i="12"/>
  <c r="O29" i="12" s="1"/>
  <c r="P43" i="13"/>
  <c r="L43" i="11"/>
  <c r="O43" i="11" s="1"/>
  <c r="O57" i="20"/>
  <c r="O98" i="21"/>
  <c r="O275" i="3"/>
  <c r="L252" i="3"/>
  <c r="O252" i="3" s="1"/>
  <c r="O11" i="12"/>
  <c r="O275" i="11"/>
  <c r="O275" i="8"/>
  <c r="L312" i="2"/>
  <c r="L310" i="2" s="1"/>
  <c r="K497" i="1"/>
  <c r="O352" i="1"/>
  <c r="O333" i="21"/>
  <c r="P53" i="16"/>
  <c r="O55" i="16"/>
  <c r="L55" i="4"/>
  <c r="L53" i="4" s="1"/>
  <c r="K573" i="1"/>
  <c r="O331" i="5"/>
  <c r="P43" i="22"/>
  <c r="L273" i="17"/>
  <c r="O273" i="17" s="1"/>
  <c r="K213" i="1"/>
  <c r="K396" i="1"/>
  <c r="O314" i="4"/>
  <c r="N140" i="13"/>
  <c r="P140" i="13" s="1"/>
  <c r="O120" i="4"/>
  <c r="L142" i="10"/>
  <c r="O142" i="10" s="1"/>
  <c r="O144" i="3"/>
  <c r="O314" i="5"/>
  <c r="L222" i="14"/>
  <c r="O222" i="14" s="1"/>
  <c r="P271" i="18"/>
  <c r="O224" i="2"/>
  <c r="P66" i="17"/>
  <c r="O349" i="1"/>
  <c r="L252" i="9"/>
  <c r="O34" i="7"/>
  <c r="L331" i="7"/>
  <c r="O331" i="7" s="1"/>
  <c r="M290" i="10"/>
  <c r="P290" i="10" s="1"/>
  <c r="K235" i="1"/>
  <c r="N11" i="14"/>
  <c r="N9" i="14" s="1"/>
  <c r="L222" i="13"/>
  <c r="L220" i="13" s="1"/>
  <c r="O220" i="13" s="1"/>
  <c r="J651" i="1"/>
  <c r="K651" i="1" s="1"/>
  <c r="P329" i="12"/>
  <c r="K80" i="1"/>
  <c r="O74" i="1"/>
  <c r="K149" i="1"/>
  <c r="L331" i="4"/>
  <c r="O331" i="4" s="1"/>
  <c r="P252" i="2"/>
  <c r="O275" i="21"/>
  <c r="O294" i="19"/>
  <c r="M118" i="15"/>
  <c r="P118" i="15" s="1"/>
  <c r="J671" i="1"/>
  <c r="K671" i="1" s="1"/>
  <c r="O57" i="3"/>
  <c r="L43" i="17"/>
  <c r="L41" i="17" s="1"/>
  <c r="O41" i="17" s="1"/>
  <c r="O34" i="12"/>
  <c r="O254" i="17"/>
  <c r="K215" i="1"/>
  <c r="O273" i="19"/>
  <c r="O580" i="1"/>
  <c r="N12" i="11"/>
  <c r="O314" i="14"/>
  <c r="P331" i="17"/>
  <c r="O224" i="18"/>
  <c r="O314" i="17"/>
  <c r="P26" i="7"/>
  <c r="L252" i="21"/>
  <c r="O252" i="21" s="1"/>
  <c r="O70" i="18"/>
  <c r="L55" i="7"/>
  <c r="L53" i="7" s="1"/>
  <c r="O53" i="7" s="1"/>
  <c r="O275" i="19"/>
  <c r="P55" i="4"/>
  <c r="O435" i="1"/>
  <c r="O298" i="1"/>
  <c r="O43" i="4"/>
  <c r="O224" i="21"/>
  <c r="P252" i="18"/>
  <c r="K64" i="1"/>
  <c r="O224" i="6"/>
  <c r="K285" i="1"/>
  <c r="L222" i="3"/>
  <c r="L220" i="3" s="1"/>
  <c r="O220" i="3" s="1"/>
  <c r="O70" i="3"/>
  <c r="O142" i="3"/>
  <c r="L55" i="19"/>
  <c r="L53" i="19" s="1"/>
  <c r="O53" i="19" s="1"/>
  <c r="P43" i="12"/>
  <c r="L252" i="10"/>
  <c r="O252" i="10" s="1"/>
  <c r="K65" i="1"/>
  <c r="O439" i="1"/>
  <c r="L142" i="15"/>
  <c r="L140" i="15" s="1"/>
  <c r="O140" i="15" s="1"/>
  <c r="K425" i="1"/>
  <c r="O649" i="1"/>
  <c r="K267" i="1"/>
  <c r="O220" i="6"/>
  <c r="O55" i="20"/>
  <c r="O568" i="1"/>
  <c r="O314" i="22"/>
  <c r="L292" i="15"/>
  <c r="O292" i="15" s="1"/>
  <c r="O333" i="10"/>
  <c r="L68" i="12"/>
  <c r="O68" i="12" s="1"/>
  <c r="N28" i="4"/>
  <c r="P120" i="18"/>
  <c r="P43" i="7"/>
  <c r="N28" i="2"/>
  <c r="K617" i="1"/>
  <c r="K376" i="1"/>
  <c r="K340" i="1"/>
  <c r="L120" i="16"/>
  <c r="O120" i="16" s="1"/>
  <c r="N28" i="7"/>
  <c r="K229" i="1"/>
  <c r="O34" i="3"/>
  <c r="K401" i="1"/>
  <c r="K132" i="1"/>
  <c r="K377" i="1"/>
  <c r="N11" i="4"/>
  <c r="N9" i="4" s="1"/>
  <c r="K381" i="1"/>
  <c r="N11" i="16"/>
  <c r="N9" i="16" s="1"/>
  <c r="K265" i="1"/>
  <c r="K474" i="1"/>
  <c r="K111" i="1"/>
  <c r="O553" i="1"/>
  <c r="K589" i="1"/>
  <c r="P252" i="19"/>
  <c r="M26" i="11"/>
  <c r="M20" i="11" s="1"/>
  <c r="L43" i="8"/>
  <c r="L41" i="8" s="1"/>
  <c r="O41" i="8" s="1"/>
  <c r="K158" i="1"/>
  <c r="O533" i="1"/>
  <c r="O354" i="1"/>
  <c r="K665" i="1"/>
  <c r="P220" i="16"/>
  <c r="L43" i="10"/>
  <c r="L41" i="10" s="1"/>
  <c r="L68" i="14"/>
  <c r="L66" i="14" s="1"/>
  <c r="O66" i="14" s="1"/>
  <c r="L222" i="12"/>
  <c r="L220" i="12" s="1"/>
  <c r="O220" i="12" s="1"/>
  <c r="L312" i="21"/>
  <c r="O312" i="21" s="1"/>
  <c r="O142" i="22"/>
  <c r="L331" i="13"/>
  <c r="L329" i="13" s="1"/>
  <c r="O329" i="13" s="1"/>
  <c r="P55" i="12"/>
  <c r="O144" i="11"/>
  <c r="O254" i="6"/>
  <c r="L55" i="8"/>
  <c r="O55" i="8" s="1"/>
  <c r="L29" i="2"/>
  <c r="O29" i="2" s="1"/>
  <c r="P120" i="19"/>
  <c r="L222" i="7"/>
  <c r="L220" i="7" s="1"/>
  <c r="O220" i="7" s="1"/>
  <c r="K304" i="1"/>
  <c r="P329" i="10"/>
  <c r="P222" i="16"/>
  <c r="L43" i="15"/>
  <c r="O43" i="15" s="1"/>
  <c r="M118" i="6"/>
  <c r="P118" i="6" s="1"/>
  <c r="N140" i="11"/>
  <c r="P140" i="11" s="1"/>
  <c r="P43" i="3"/>
  <c r="O31" i="2"/>
  <c r="L14" i="19"/>
  <c r="O14" i="19" s="1"/>
  <c r="P68" i="9"/>
  <c r="L273" i="6"/>
  <c r="L271" i="6" s="1"/>
  <c r="O271" i="6" s="1"/>
  <c r="O144" i="6"/>
  <c r="P94" i="2"/>
  <c r="K200" i="1"/>
  <c r="K628" i="1"/>
  <c r="L331" i="22"/>
  <c r="L329" i="22" s="1"/>
  <c r="O329" i="22" s="1"/>
  <c r="P220" i="15"/>
  <c r="O331" i="10"/>
  <c r="O26" i="3"/>
  <c r="L96" i="2"/>
  <c r="L94" i="2" s="1"/>
  <c r="O94" i="2" s="1"/>
  <c r="O220" i="16"/>
  <c r="L312" i="15"/>
  <c r="L310" i="15" s="1"/>
  <c r="O310" i="15" s="1"/>
  <c r="K631" i="1"/>
  <c r="L43" i="2"/>
  <c r="O43" i="2" s="1"/>
  <c r="O26" i="22"/>
  <c r="O57" i="21"/>
  <c r="L120" i="19"/>
  <c r="L118" i="19" s="1"/>
  <c r="O118" i="19" s="1"/>
  <c r="O49" i="1"/>
  <c r="L273" i="22"/>
  <c r="O566" i="1"/>
  <c r="O597" i="1"/>
  <c r="L312" i="20"/>
  <c r="O312" i="20" s="1"/>
  <c r="L14" i="14"/>
  <c r="O14" i="14" s="1"/>
  <c r="O437" i="1"/>
  <c r="P331" i="19"/>
  <c r="O70" i="8"/>
  <c r="K173" i="1"/>
  <c r="K186" i="1"/>
  <c r="K547" i="1"/>
  <c r="L29" i="7"/>
  <c r="O29" i="7" s="1"/>
  <c r="M250" i="14"/>
  <c r="P250" i="14" s="1"/>
  <c r="L273" i="15"/>
  <c r="L271" i="15" s="1"/>
  <c r="O271" i="15" s="1"/>
  <c r="K450" i="1"/>
  <c r="O535" i="1"/>
  <c r="K498" i="1"/>
  <c r="K110" i="1"/>
  <c r="P144" i="1"/>
  <c r="K133" i="1"/>
  <c r="K422" i="1"/>
  <c r="O96" i="19"/>
  <c r="P252" i="15"/>
  <c r="M290" i="16"/>
  <c r="P290" i="16" s="1"/>
  <c r="L292" i="14"/>
  <c r="O292" i="14" s="1"/>
  <c r="O16" i="5"/>
  <c r="O31" i="7"/>
  <c r="P275" i="1"/>
  <c r="N28" i="21"/>
  <c r="L312" i="3"/>
  <c r="O312" i="3" s="1"/>
  <c r="K426" i="1"/>
  <c r="O34" i="20"/>
  <c r="N28" i="20"/>
  <c r="P43" i="19"/>
  <c r="L142" i="12"/>
  <c r="O142" i="12" s="1"/>
  <c r="O294" i="9"/>
  <c r="K429" i="1"/>
  <c r="M310" i="7"/>
  <c r="P310" i="7" s="1"/>
  <c r="P68" i="6"/>
  <c r="P43" i="18"/>
  <c r="N11" i="10"/>
  <c r="N9" i="10" s="1"/>
  <c r="O34" i="6"/>
  <c r="P312" i="9"/>
  <c r="K92" i="1"/>
  <c r="O34" i="21"/>
  <c r="O57" i="12"/>
  <c r="O459" i="1"/>
  <c r="P224" i="1"/>
  <c r="M290" i="7"/>
  <c r="P290" i="7" s="1"/>
  <c r="P142" i="19"/>
  <c r="L120" i="3"/>
  <c r="L118" i="3" s="1"/>
  <c r="O118" i="3" s="1"/>
  <c r="L68" i="22"/>
  <c r="O68" i="22" s="1"/>
  <c r="O98" i="19"/>
  <c r="O144" i="13"/>
  <c r="O144" i="4"/>
  <c r="P41" i="18"/>
  <c r="P273" i="18"/>
  <c r="O404" i="1"/>
  <c r="L271" i="7"/>
  <c r="O271" i="7" s="1"/>
  <c r="O273" i="7"/>
  <c r="O329" i="21"/>
  <c r="N28" i="17"/>
  <c r="P222" i="15"/>
  <c r="M118" i="14"/>
  <c r="P118" i="14" s="1"/>
  <c r="K455" i="1"/>
  <c r="K435" i="1"/>
  <c r="L142" i="2"/>
  <c r="L140" i="2" s="1"/>
  <c r="O140" i="2" s="1"/>
  <c r="L68" i="2"/>
  <c r="L66" i="2" s="1"/>
  <c r="P252" i="21"/>
  <c r="P16" i="22"/>
  <c r="L331" i="12"/>
  <c r="O331" i="12" s="1"/>
  <c r="O31" i="14"/>
  <c r="K199" i="1"/>
  <c r="O275" i="7"/>
  <c r="K424" i="1"/>
  <c r="L310" i="8"/>
  <c r="O310" i="8" s="1"/>
  <c r="O401" i="1"/>
  <c r="O220" i="19"/>
  <c r="P122" i="1"/>
  <c r="L273" i="12"/>
  <c r="O273" i="12" s="1"/>
  <c r="L222" i="4"/>
  <c r="O222" i="4" s="1"/>
  <c r="K595" i="1"/>
  <c r="M66" i="14"/>
  <c r="P66" i="14" s="1"/>
  <c r="O45" i="19"/>
  <c r="P252" i="12"/>
  <c r="M290" i="15"/>
  <c r="P290" i="15" s="1"/>
  <c r="L331" i="19"/>
  <c r="O331" i="19" s="1"/>
  <c r="L68" i="5"/>
  <c r="L66" i="5" s="1"/>
  <c r="O66" i="5" s="1"/>
  <c r="K83" i="1"/>
  <c r="M250" i="11"/>
  <c r="P250" i="11" s="1"/>
  <c r="O96" i="11"/>
  <c r="P142" i="15"/>
  <c r="O122" i="22"/>
  <c r="O55" i="21"/>
  <c r="L120" i="20"/>
  <c r="O120" i="20" s="1"/>
  <c r="L43" i="21"/>
  <c r="O43" i="21" s="1"/>
  <c r="L292" i="12"/>
  <c r="O292" i="12" s="1"/>
  <c r="P250" i="12"/>
  <c r="M271" i="13"/>
  <c r="P271" i="13" s="1"/>
  <c r="L43" i="12"/>
  <c r="L41" i="12" s="1"/>
  <c r="L252" i="4"/>
  <c r="O252" i="4" s="1"/>
  <c r="K591" i="1"/>
  <c r="K372" i="1"/>
  <c r="K634" i="1"/>
  <c r="O294" i="20"/>
  <c r="O122" i="18"/>
  <c r="P220" i="13"/>
  <c r="O254" i="16"/>
  <c r="O142" i="9"/>
  <c r="M94" i="3"/>
  <c r="P94" i="3" s="1"/>
  <c r="K551" i="1"/>
  <c r="P331" i="12"/>
  <c r="K465" i="1"/>
  <c r="M290" i="8"/>
  <c r="P290" i="8" s="1"/>
  <c r="L331" i="18"/>
  <c r="O331" i="18" s="1"/>
  <c r="P222" i="13"/>
  <c r="K264" i="1"/>
  <c r="N28" i="18"/>
  <c r="N271" i="4"/>
  <c r="P271" i="4" s="1"/>
  <c r="O68" i="3"/>
  <c r="O31" i="19"/>
  <c r="O275" i="16"/>
  <c r="K668" i="1"/>
  <c r="K86" i="1"/>
  <c r="O222" i="6"/>
  <c r="K482" i="1"/>
  <c r="O564" i="1"/>
  <c r="L273" i="4"/>
  <c r="O337" i="1"/>
  <c r="O601" i="1"/>
  <c r="O671" i="1"/>
  <c r="K419" i="1"/>
  <c r="O331" i="17"/>
  <c r="O68" i="18"/>
  <c r="N43" i="1"/>
  <c r="N41" i="1" s="1"/>
  <c r="K593" i="1"/>
  <c r="O41" i="5"/>
  <c r="P294" i="1"/>
  <c r="O650" i="1"/>
  <c r="K615" i="1"/>
  <c r="K266" i="1"/>
  <c r="K270" i="1"/>
  <c r="K481" i="1"/>
  <c r="P331" i="6"/>
  <c r="P331" i="4"/>
  <c r="O24" i="19"/>
  <c r="L16" i="22"/>
  <c r="O16" i="22" s="1"/>
  <c r="N66" i="19"/>
  <c r="P66" i="19" s="1"/>
  <c r="O120" i="12"/>
  <c r="O144" i="8"/>
  <c r="O57" i="10"/>
  <c r="N329" i="6"/>
  <c r="P329" i="6" s="1"/>
  <c r="P43" i="16"/>
  <c r="P66" i="6"/>
  <c r="O43" i="5"/>
  <c r="K430" i="1"/>
  <c r="K473" i="1"/>
  <c r="O222" i="20"/>
  <c r="O661" i="1"/>
  <c r="L96" i="18"/>
  <c r="O96" i="18" s="1"/>
  <c r="P140" i="17"/>
  <c r="O333" i="17"/>
  <c r="O537" i="1"/>
  <c r="M94" i="6"/>
  <c r="P94" i="6" s="1"/>
  <c r="O555" i="1"/>
  <c r="N28" i="9"/>
  <c r="K397" i="1"/>
  <c r="K416" i="1"/>
  <c r="O144" i="21"/>
  <c r="P142" i="17"/>
  <c r="O34" i="10"/>
  <c r="L68" i="10"/>
  <c r="O68" i="10" s="1"/>
  <c r="O584" i="1"/>
  <c r="K663" i="1"/>
  <c r="K580" i="1"/>
  <c r="P222" i="12"/>
  <c r="O457" i="1"/>
  <c r="O70" i="15"/>
  <c r="O102" i="1"/>
  <c r="M250" i="22"/>
  <c r="P250" i="22" s="1"/>
  <c r="O70" i="21"/>
  <c r="O142" i="17"/>
  <c r="P142" i="8"/>
  <c r="L273" i="9"/>
  <c r="O273" i="9" s="1"/>
  <c r="M310" i="6"/>
  <c r="P310" i="6" s="1"/>
  <c r="K289" i="1"/>
  <c r="L273" i="13"/>
  <c r="O273" i="13" s="1"/>
  <c r="L13" i="21"/>
  <c r="O13" i="21" s="1"/>
  <c r="M290" i="20"/>
  <c r="P290" i="20" s="1"/>
  <c r="K451" i="1"/>
  <c r="M250" i="7"/>
  <c r="P250" i="7" s="1"/>
  <c r="P68" i="5"/>
  <c r="K189" i="1"/>
  <c r="N28" i="16"/>
  <c r="O222" i="15"/>
  <c r="K81" i="1"/>
  <c r="K113" i="1"/>
  <c r="K432" i="1"/>
  <c r="L292" i="16"/>
  <c r="L290" i="16" s="1"/>
  <c r="O290" i="16" s="1"/>
  <c r="P43" i="5"/>
  <c r="K370" i="1"/>
  <c r="O380" i="1"/>
  <c r="O70" i="20"/>
  <c r="N66" i="8"/>
  <c r="P66" i="8" s="1"/>
  <c r="L96" i="6"/>
  <c r="O96" i="6" s="1"/>
  <c r="P26" i="3"/>
  <c r="O455" i="1"/>
  <c r="M290" i="11"/>
  <c r="P290" i="11" s="1"/>
  <c r="K85" i="1"/>
  <c r="O30" i="3"/>
  <c r="M290" i="13"/>
  <c r="P290" i="13" s="1"/>
  <c r="P222" i="6"/>
  <c r="O551" i="1"/>
  <c r="M310" i="19"/>
  <c r="P310" i="19" s="1"/>
  <c r="M220" i="22"/>
  <c r="P220" i="22" s="1"/>
  <c r="P16" i="17"/>
  <c r="O45" i="9"/>
  <c r="M331" i="8"/>
  <c r="P331" i="8" s="1"/>
  <c r="N11" i="9"/>
  <c r="N9" i="9" s="1"/>
  <c r="L29" i="4"/>
  <c r="O29" i="4" s="1"/>
  <c r="L331" i="14"/>
  <c r="L329" i="14" s="1"/>
  <c r="N29" i="11"/>
  <c r="N28" i="11" s="1"/>
  <c r="O224" i="8"/>
  <c r="P26" i="17"/>
  <c r="L43" i="13"/>
  <c r="O43" i="13" s="1"/>
  <c r="O31" i="4"/>
  <c r="N329" i="4"/>
  <c r="P329" i="4" s="1"/>
  <c r="M66" i="11"/>
  <c r="P66" i="11" s="1"/>
  <c r="O224" i="15"/>
  <c r="K650" i="1"/>
  <c r="O347" i="1"/>
  <c r="M290" i="19"/>
  <c r="P290" i="19" s="1"/>
  <c r="P220" i="18"/>
  <c r="M26" i="8"/>
  <c r="M16" i="8" s="1"/>
  <c r="P16" i="8" s="1"/>
  <c r="M41" i="22"/>
  <c r="P41" i="22" s="1"/>
  <c r="O34" i="11"/>
  <c r="P220" i="6"/>
  <c r="N31" i="1"/>
  <c r="N29" i="1" s="1"/>
  <c r="O32" i="16"/>
  <c r="O34" i="14"/>
  <c r="K560" i="1"/>
  <c r="O275" i="14"/>
  <c r="N28" i="5"/>
  <c r="N11" i="3"/>
  <c r="N9" i="3" s="1"/>
  <c r="K88" i="1"/>
  <c r="L290" i="19"/>
  <c r="O290" i="19" s="1"/>
  <c r="L638" i="18"/>
  <c r="O638" i="18" s="1"/>
  <c r="L273" i="18"/>
  <c r="O273" i="18" s="1"/>
  <c r="K402" i="1"/>
  <c r="O98" i="22"/>
  <c r="O45" i="14"/>
  <c r="L638" i="11"/>
  <c r="O638" i="11" s="1"/>
  <c r="P331" i="20"/>
  <c r="M310" i="22"/>
  <c r="P310" i="22" s="1"/>
  <c r="L273" i="5"/>
  <c r="O273" i="5" s="1"/>
  <c r="K117" i="1"/>
  <c r="K204" i="1"/>
  <c r="M94" i="10"/>
  <c r="P94" i="10" s="1"/>
  <c r="P16" i="3"/>
  <c r="L22" i="12"/>
  <c r="O22" i="12" s="1"/>
  <c r="P98" i="1"/>
  <c r="N11" i="5"/>
  <c r="N9" i="5" s="1"/>
  <c r="P22" i="20"/>
  <c r="K82" i="1"/>
  <c r="L140" i="22"/>
  <c r="O140" i="22" s="1"/>
  <c r="P310" i="18"/>
  <c r="K350" i="1"/>
  <c r="O273" i="2"/>
  <c r="O30" i="21"/>
  <c r="L14" i="16"/>
  <c r="O14" i="16" s="1"/>
  <c r="K431" i="1"/>
  <c r="P53" i="10"/>
  <c r="K345" i="1"/>
  <c r="O53" i="17"/>
  <c r="O120" i="18"/>
  <c r="L118" i="18"/>
  <c r="O118" i="18" s="1"/>
  <c r="K614" i="1"/>
  <c r="O254" i="5"/>
  <c r="K87" i="1"/>
  <c r="O254" i="2"/>
  <c r="O122" i="2"/>
  <c r="K613" i="1"/>
  <c r="K612" i="1"/>
  <c r="L22" i="19"/>
  <c r="O22" i="19" s="1"/>
  <c r="K398" i="1"/>
  <c r="P57" i="1"/>
  <c r="O224" i="20"/>
  <c r="M94" i="17"/>
  <c r="P94" i="17" s="1"/>
  <c r="P96" i="17"/>
  <c r="N11" i="17"/>
  <c r="N9" i="17" s="1"/>
  <c r="O57" i="17"/>
  <c r="L252" i="14"/>
  <c r="L250" i="14" s="1"/>
  <c r="O250" i="14" s="1"/>
  <c r="P55" i="10"/>
  <c r="L140" i="3"/>
  <c r="O140" i="3" s="1"/>
  <c r="N41" i="4"/>
  <c r="O41" i="4" s="1"/>
  <c r="K619" i="1"/>
  <c r="K616" i="1"/>
  <c r="P55" i="22"/>
  <c r="O55" i="13"/>
  <c r="O32" i="13"/>
  <c r="N28" i="14"/>
  <c r="P331" i="10"/>
  <c r="O640" i="13"/>
  <c r="P49" i="5"/>
  <c r="O144" i="14"/>
  <c r="M310" i="14"/>
  <c r="P310" i="14" s="1"/>
  <c r="K112" i="1"/>
  <c r="P140" i="20"/>
  <c r="O32" i="14"/>
  <c r="L14" i="22"/>
  <c r="O14" i="22" s="1"/>
  <c r="P142" i="20"/>
  <c r="L13" i="19"/>
  <c r="O13" i="19" s="1"/>
  <c r="P140" i="15"/>
  <c r="L13" i="14"/>
  <c r="O13" i="14" s="1"/>
  <c r="O34" i="8"/>
  <c r="O254" i="12"/>
  <c r="M41" i="5"/>
  <c r="P41" i="5" s="1"/>
  <c r="L22" i="4"/>
  <c r="L20" i="4" s="1"/>
  <c r="L220" i="5"/>
  <c r="O220" i="5" s="1"/>
  <c r="K597" i="1"/>
  <c r="P273" i="2"/>
  <c r="K630" i="1"/>
  <c r="K618" i="1"/>
  <c r="P140" i="19"/>
  <c r="N26" i="1"/>
  <c r="N16" i="1" s="1"/>
  <c r="L22" i="16"/>
  <c r="L12" i="16" s="1"/>
  <c r="O68" i="15"/>
  <c r="O30" i="14"/>
  <c r="K428" i="1"/>
  <c r="P250" i="4"/>
  <c r="O331" i="21"/>
  <c r="L30" i="16"/>
  <c r="O30" i="16" s="1"/>
  <c r="N140" i="12"/>
  <c r="P140" i="12" s="1"/>
  <c r="L252" i="12"/>
  <c r="O252" i="12" s="1"/>
  <c r="L312" i="11"/>
  <c r="O312" i="11" s="1"/>
  <c r="O70" i="6"/>
  <c r="O224" i="9"/>
  <c r="L331" i="8"/>
  <c r="O331" i="8" s="1"/>
  <c r="K611" i="1"/>
  <c r="O41" i="20"/>
  <c r="O250" i="15"/>
  <c r="N53" i="9"/>
  <c r="P53" i="9" s="1"/>
  <c r="K349" i="1"/>
  <c r="N271" i="2"/>
  <c r="P271" i="2" s="1"/>
  <c r="L252" i="20"/>
  <c r="O252" i="20" s="1"/>
  <c r="L312" i="7"/>
  <c r="O314" i="7"/>
  <c r="O57" i="22"/>
  <c r="M12" i="20"/>
  <c r="M10" i="20" s="1"/>
  <c r="M20" i="20"/>
  <c r="M18" i="20" s="1"/>
  <c r="M310" i="12"/>
  <c r="P310" i="12" s="1"/>
  <c r="P273" i="10"/>
  <c r="K201" i="1"/>
  <c r="N11" i="21"/>
  <c r="N9" i="21" s="1"/>
  <c r="M250" i="21"/>
  <c r="P250" i="21" s="1"/>
  <c r="M94" i="18"/>
  <c r="P94" i="18" s="1"/>
  <c r="L222" i="17"/>
  <c r="N12" i="16"/>
  <c r="N10" i="16" s="1"/>
  <c r="L312" i="18"/>
  <c r="O314" i="18"/>
  <c r="P70" i="1"/>
  <c r="M290" i="21"/>
  <c r="P290" i="21" s="1"/>
  <c r="P292" i="21"/>
  <c r="P273" i="6"/>
  <c r="M271" i="6"/>
  <c r="P271" i="6" s="1"/>
  <c r="O16" i="16"/>
  <c r="P118" i="5"/>
  <c r="O34" i="18"/>
  <c r="L292" i="22"/>
  <c r="O292" i="22" s="1"/>
  <c r="M94" i="21"/>
  <c r="P94" i="21" s="1"/>
  <c r="O144" i="20"/>
  <c r="L273" i="20"/>
  <c r="L271" i="20" s="1"/>
  <c r="O271" i="20" s="1"/>
  <c r="L22" i="20"/>
  <c r="O22" i="20" s="1"/>
  <c r="O224" i="16"/>
  <c r="O252" i="15"/>
  <c r="O26" i="16"/>
  <c r="P68" i="13"/>
  <c r="P66" i="13"/>
  <c r="M310" i="11"/>
  <c r="P310" i="11" s="1"/>
  <c r="O55" i="14"/>
  <c r="M96" i="12"/>
  <c r="P96" i="12" s="1"/>
  <c r="O98" i="12"/>
  <c r="L638" i="7"/>
  <c r="O638" i="7" s="1"/>
  <c r="K423" i="1"/>
  <c r="P22" i="3"/>
  <c r="O333" i="2"/>
  <c r="N644" i="1"/>
  <c r="N640" i="1" s="1"/>
  <c r="N638" i="1" s="1"/>
  <c r="N636" i="1" s="1"/>
  <c r="K341" i="1"/>
  <c r="O66" i="3"/>
  <c r="L220" i="20"/>
  <c r="O220" i="20" s="1"/>
  <c r="L275" i="1"/>
  <c r="O275" i="1" s="1"/>
  <c r="P220" i="19"/>
  <c r="M271" i="11"/>
  <c r="P271" i="11" s="1"/>
  <c r="L120" i="9"/>
  <c r="O294" i="8"/>
  <c r="K185" i="1"/>
  <c r="L53" i="16"/>
  <c r="O53" i="16" s="1"/>
  <c r="L57" i="1"/>
  <c r="L55" i="1" s="1"/>
  <c r="P222" i="2"/>
  <c r="L142" i="18"/>
  <c r="L331" i="16"/>
  <c r="O331" i="16" s="1"/>
  <c r="O34" i="17"/>
  <c r="P250" i="15"/>
  <c r="N11" i="15"/>
  <c r="N9" i="15" s="1"/>
  <c r="L638" i="13"/>
  <c r="L636" i="13" s="1"/>
  <c r="O636" i="13" s="1"/>
  <c r="O122" i="13"/>
  <c r="L312" i="12"/>
  <c r="O312" i="12" s="1"/>
  <c r="L331" i="11"/>
  <c r="O331" i="11" s="1"/>
  <c r="N11" i="7"/>
  <c r="N9" i="7" s="1"/>
  <c r="L70" i="1"/>
  <c r="O70" i="1" s="1"/>
  <c r="O34" i="9"/>
  <c r="O34" i="4"/>
  <c r="L118" i="4"/>
  <c r="O118" i="4" s="1"/>
  <c r="P96" i="2"/>
  <c r="N11" i="2"/>
  <c r="N9" i="2" s="1"/>
  <c r="L292" i="5"/>
  <c r="O292" i="5" s="1"/>
  <c r="O57" i="13"/>
  <c r="N29" i="8"/>
  <c r="N28" i="8" s="1"/>
  <c r="N220" i="11"/>
  <c r="P220" i="11" s="1"/>
  <c r="O651" i="1"/>
  <c r="M290" i="9"/>
  <c r="P290" i="9" s="1"/>
  <c r="L55" i="9"/>
  <c r="O57" i="9"/>
  <c r="M26" i="12"/>
  <c r="M20" i="12" s="1"/>
  <c r="M290" i="6"/>
  <c r="P290" i="6" s="1"/>
  <c r="P142" i="6"/>
  <c r="L53" i="20"/>
  <c r="O53" i="20" s="1"/>
  <c r="O122" i="21"/>
  <c r="P16" i="20"/>
  <c r="P250" i="19"/>
  <c r="P55" i="18"/>
  <c r="P53" i="17"/>
  <c r="L142" i="16"/>
  <c r="O142" i="16" s="1"/>
  <c r="O34" i="16"/>
  <c r="N20" i="16"/>
  <c r="N18" i="16" s="1"/>
  <c r="L120" i="11"/>
  <c r="O120" i="11" s="1"/>
  <c r="M118" i="7"/>
  <c r="P118" i="7" s="1"/>
  <c r="O144" i="9"/>
  <c r="P43" i="6"/>
  <c r="L329" i="5"/>
  <c r="O329" i="5" s="1"/>
  <c r="M16" i="7"/>
  <c r="P16" i="7" s="1"/>
  <c r="P142" i="9"/>
  <c r="P142" i="4"/>
  <c r="L22" i="2"/>
  <c r="L20" i="2" s="1"/>
  <c r="K176" i="1"/>
  <c r="P333" i="1"/>
  <c r="P26" i="2"/>
  <c r="O665" i="1"/>
  <c r="O640" i="19"/>
  <c r="P222" i="19"/>
  <c r="P43" i="15"/>
  <c r="N310" i="5"/>
  <c r="P310" i="5" s="1"/>
  <c r="K649" i="1"/>
  <c r="L222" i="11"/>
  <c r="O224" i="11"/>
  <c r="P329" i="3"/>
  <c r="L120" i="10"/>
  <c r="O122" i="10"/>
  <c r="L55" i="11"/>
  <c r="O55" i="11" s="1"/>
  <c r="K216" i="1"/>
  <c r="P16" i="2"/>
  <c r="P252" i="10"/>
  <c r="M250" i="10"/>
  <c r="P250" i="10" s="1"/>
  <c r="P26" i="20"/>
  <c r="P55" i="17"/>
  <c r="O222" i="16"/>
  <c r="L13" i="16"/>
  <c r="O13" i="16" s="1"/>
  <c r="N11" i="13"/>
  <c r="N9" i="13" s="1"/>
  <c r="N28" i="13"/>
  <c r="N28" i="10"/>
  <c r="P140" i="9"/>
  <c r="K328" i="1"/>
  <c r="O34" i="22"/>
  <c r="O34" i="19"/>
  <c r="P120" i="13"/>
  <c r="L292" i="17"/>
  <c r="L290" i="17" s="1"/>
  <c r="O290" i="17" s="1"/>
  <c r="O222" i="19"/>
  <c r="O142" i="6"/>
  <c r="P312" i="17"/>
  <c r="M310" i="17"/>
  <c r="P310" i="17" s="1"/>
  <c r="L292" i="21"/>
  <c r="O294" i="21"/>
  <c r="M290" i="14"/>
  <c r="P290" i="14" s="1"/>
  <c r="P292" i="14"/>
  <c r="L22" i="21"/>
  <c r="O22" i="21" s="1"/>
  <c r="L9" i="14"/>
  <c r="O9" i="14" s="1"/>
  <c r="L250" i="13"/>
  <c r="O250" i="13" s="1"/>
  <c r="P337" i="22"/>
  <c r="N37" i="22"/>
  <c r="P118" i="21"/>
  <c r="L638" i="19"/>
  <c r="O638" i="19" s="1"/>
  <c r="O144" i="19"/>
  <c r="O55" i="17"/>
  <c r="M12" i="13"/>
  <c r="M10" i="13" s="1"/>
  <c r="O224" i="10"/>
  <c r="O32" i="12"/>
  <c r="N220" i="10"/>
  <c r="N37" i="10" s="1"/>
  <c r="L13" i="12"/>
  <c r="O13" i="12" s="1"/>
  <c r="O640" i="6"/>
  <c r="O53" i="6"/>
  <c r="N140" i="4"/>
  <c r="P140" i="4" s="1"/>
  <c r="O32" i="3"/>
  <c r="O34" i="2"/>
  <c r="L32" i="1"/>
  <c r="L30" i="1" s="1"/>
  <c r="M41" i="6"/>
  <c r="P41" i="6" s="1"/>
  <c r="M20" i="3"/>
  <c r="M18" i="3" s="1"/>
  <c r="L144" i="1"/>
  <c r="O144" i="1" s="1"/>
  <c r="P55" i="2"/>
  <c r="M140" i="22"/>
  <c r="P140" i="22" s="1"/>
  <c r="P142" i="22"/>
  <c r="N29" i="22"/>
  <c r="N28" i="22" s="1"/>
  <c r="N11" i="22"/>
  <c r="N9" i="22" s="1"/>
  <c r="N20" i="20"/>
  <c r="N18" i="20" s="1"/>
  <c r="N12" i="20"/>
  <c r="N10" i="20" s="1"/>
  <c r="N8" i="20" s="1"/>
  <c r="O32" i="21"/>
  <c r="M66" i="20"/>
  <c r="P66" i="20" s="1"/>
  <c r="O31" i="20"/>
  <c r="L29" i="20"/>
  <c r="O43" i="20"/>
  <c r="N290" i="18"/>
  <c r="P290" i="18" s="1"/>
  <c r="P273" i="14"/>
  <c r="M271" i="14"/>
  <c r="P271" i="14" s="1"/>
  <c r="L250" i="16"/>
  <c r="O250" i="16" s="1"/>
  <c r="O252" i="16"/>
  <c r="P273" i="17"/>
  <c r="M118" i="3"/>
  <c r="P118" i="3" s="1"/>
  <c r="P120" i="3"/>
  <c r="P142" i="5"/>
  <c r="M140" i="5"/>
  <c r="P140" i="5" s="1"/>
  <c r="P252" i="9"/>
  <c r="M250" i="9"/>
  <c r="P250" i="9" s="1"/>
  <c r="L290" i="8"/>
  <c r="O290" i="8" s="1"/>
  <c r="O292" i="8"/>
  <c r="P96" i="11"/>
  <c r="M94" i="11"/>
  <c r="P94" i="11" s="1"/>
  <c r="P273" i="19"/>
  <c r="M271" i="19"/>
  <c r="P271" i="19" s="1"/>
  <c r="O98" i="20"/>
  <c r="L142" i="19"/>
  <c r="L250" i="8"/>
  <c r="O250" i="8" s="1"/>
  <c r="M331" i="22"/>
  <c r="P331" i="22" s="1"/>
  <c r="M290" i="22"/>
  <c r="P290" i="22" s="1"/>
  <c r="L9" i="22"/>
  <c r="O9" i="22" s="1"/>
  <c r="L29" i="22"/>
  <c r="O29" i="22" s="1"/>
  <c r="L66" i="21"/>
  <c r="O66" i="21" s="1"/>
  <c r="L252" i="19"/>
  <c r="L250" i="19" s="1"/>
  <c r="O250" i="19" s="1"/>
  <c r="P222" i="17"/>
  <c r="P43" i="17"/>
  <c r="L94" i="16"/>
  <c r="O94" i="16" s="1"/>
  <c r="O30" i="17"/>
  <c r="M250" i="13"/>
  <c r="P250" i="13" s="1"/>
  <c r="N118" i="13"/>
  <c r="P22" i="13"/>
  <c r="O30" i="5"/>
  <c r="P292" i="5"/>
  <c r="L24" i="1"/>
  <c r="O24" i="1" s="1"/>
  <c r="L120" i="5"/>
  <c r="L118" i="5" s="1"/>
  <c r="O118" i="5" s="1"/>
  <c r="L33" i="1"/>
  <c r="O33" i="1" s="1"/>
  <c r="L254" i="1"/>
  <c r="O254" i="1" s="1"/>
  <c r="P53" i="2"/>
  <c r="O222" i="21"/>
  <c r="L118" i="22"/>
  <c r="O118" i="22" s="1"/>
  <c r="O120" i="22"/>
  <c r="P222" i="20"/>
  <c r="M220" i="20"/>
  <c r="P220" i="20" s="1"/>
  <c r="O32" i="20"/>
  <c r="P252" i="16"/>
  <c r="M250" i="16"/>
  <c r="P250" i="16" s="1"/>
  <c r="P96" i="15"/>
  <c r="M94" i="15"/>
  <c r="P94" i="15" s="1"/>
  <c r="M94" i="9"/>
  <c r="P94" i="9" s="1"/>
  <c r="O122" i="6"/>
  <c r="L120" i="6"/>
  <c r="P252" i="5"/>
  <c r="M250" i="5"/>
  <c r="P250" i="5" s="1"/>
  <c r="N55" i="1"/>
  <c r="M271" i="7"/>
  <c r="P271" i="7" s="1"/>
  <c r="P273" i="7"/>
  <c r="L96" i="3"/>
  <c r="O98" i="3"/>
  <c r="P220" i="17"/>
  <c r="L22" i="15"/>
  <c r="O22" i="15" s="1"/>
  <c r="O34" i="5"/>
  <c r="O31" i="22"/>
  <c r="L94" i="21"/>
  <c r="O94" i="21" s="1"/>
  <c r="L13" i="20"/>
  <c r="O13" i="20" s="1"/>
  <c r="L14" i="21"/>
  <c r="O14" i="21" s="1"/>
  <c r="O30" i="20"/>
  <c r="O32" i="17"/>
  <c r="L120" i="15"/>
  <c r="O34" i="15"/>
  <c r="O98" i="14"/>
  <c r="L14" i="11"/>
  <c r="O14" i="11" s="1"/>
  <c r="P66" i="10"/>
  <c r="L312" i="6"/>
  <c r="K249" i="1"/>
  <c r="O32" i="5"/>
  <c r="K368" i="1"/>
  <c r="N94" i="1"/>
  <c r="L640" i="1"/>
  <c r="M252" i="1"/>
  <c r="P252" i="4"/>
  <c r="O292" i="20"/>
  <c r="L290" i="20"/>
  <c r="O290" i="20" s="1"/>
  <c r="P312" i="20"/>
  <c r="M310" i="20"/>
  <c r="P310" i="20" s="1"/>
  <c r="M271" i="21"/>
  <c r="P271" i="21" s="1"/>
  <c r="P273" i="21"/>
  <c r="P252" i="20"/>
  <c r="M250" i="20"/>
  <c r="P250" i="20" s="1"/>
  <c r="P55" i="19"/>
  <c r="O32" i="19"/>
  <c r="L30" i="19"/>
  <c r="P120" i="22"/>
  <c r="M118" i="22"/>
  <c r="P118" i="22" s="1"/>
  <c r="P273" i="16"/>
  <c r="M271" i="16"/>
  <c r="L312" i="16"/>
  <c r="O314" i="16"/>
  <c r="O312" i="17"/>
  <c r="L310" i="17"/>
  <c r="O310" i="17" s="1"/>
  <c r="P68" i="10"/>
  <c r="P120" i="17"/>
  <c r="N118" i="17"/>
  <c r="P118" i="17" s="1"/>
  <c r="L292" i="3"/>
  <c r="O294" i="3"/>
  <c r="L140" i="14"/>
  <c r="O142" i="14"/>
  <c r="M96" i="4"/>
  <c r="M26" i="4"/>
  <c r="M16" i="4" s="1"/>
  <c r="P16" i="4" s="1"/>
  <c r="M118" i="2"/>
  <c r="P118" i="2" s="1"/>
  <c r="P120" i="2"/>
  <c r="L290" i="6"/>
  <c r="O290" i="6" s="1"/>
  <c r="O292" i="6"/>
  <c r="K427" i="1"/>
  <c r="L23" i="1"/>
  <c r="O23" i="1" s="1"/>
  <c r="P55" i="6"/>
  <c r="O55" i="22"/>
  <c r="L53" i="22"/>
  <c r="O53" i="22" s="1"/>
  <c r="O31" i="18"/>
  <c r="L29" i="18"/>
  <c r="O29" i="18" s="1"/>
  <c r="L11" i="18"/>
  <c r="O11" i="18" s="1"/>
  <c r="O273" i="16"/>
  <c r="N271" i="16"/>
  <c r="O271" i="16" s="1"/>
  <c r="M53" i="15"/>
  <c r="P53" i="15" s="1"/>
  <c r="P55" i="15"/>
  <c r="O24" i="12"/>
  <c r="L14" i="12"/>
  <c r="L22" i="14"/>
  <c r="L12" i="14" s="1"/>
  <c r="P26" i="22"/>
  <c r="L271" i="14"/>
  <c r="O271" i="14" s="1"/>
  <c r="P26" i="13"/>
  <c r="L22" i="9"/>
  <c r="O22" i="9" s="1"/>
  <c r="L22" i="8"/>
  <c r="L20" i="8" s="1"/>
  <c r="L18" i="8" s="1"/>
  <c r="N37" i="3"/>
  <c r="K632" i="1"/>
  <c r="O16" i="3"/>
  <c r="K343" i="1"/>
  <c r="L14" i="4"/>
  <c r="O14" i="4" s="1"/>
  <c r="L314" i="1"/>
  <c r="O314" i="1" s="1"/>
  <c r="N96" i="1"/>
  <c r="O333" i="20"/>
  <c r="L331" i="20"/>
  <c r="L14" i="20"/>
  <c r="O14" i="20" s="1"/>
  <c r="O70" i="19"/>
  <c r="L68" i="19"/>
  <c r="P273" i="20"/>
  <c r="M271" i="20"/>
  <c r="P271" i="20" s="1"/>
  <c r="N220" i="21"/>
  <c r="P220" i="21" s="1"/>
  <c r="P120" i="16"/>
  <c r="M118" i="16"/>
  <c r="P118" i="16" s="1"/>
  <c r="P273" i="15"/>
  <c r="M271" i="15"/>
  <c r="P271" i="15" s="1"/>
  <c r="N220" i="14"/>
  <c r="P220" i="14" s="1"/>
  <c r="P222" i="14"/>
  <c r="P96" i="8"/>
  <c r="M94" i="8"/>
  <c r="P94" i="8" s="1"/>
  <c r="O294" i="11"/>
  <c r="L292" i="11"/>
  <c r="L142" i="5"/>
  <c r="O144" i="5"/>
  <c r="P292" i="4"/>
  <c r="M290" i="4"/>
  <c r="P290" i="4" s="1"/>
  <c r="O120" i="14"/>
  <c r="L118" i="14"/>
  <c r="O118" i="14" s="1"/>
  <c r="P68" i="7"/>
  <c r="M66" i="7"/>
  <c r="P66" i="7" s="1"/>
  <c r="M66" i="2"/>
  <c r="P66" i="2" s="1"/>
  <c r="P68" i="2"/>
  <c r="N33" i="1"/>
  <c r="N13" i="1" s="1"/>
  <c r="K219" i="1"/>
  <c r="P250" i="3"/>
  <c r="M290" i="3"/>
  <c r="P290" i="3" s="1"/>
  <c r="K629" i="1"/>
  <c r="L122" i="1"/>
  <c r="O122" i="1" s="1"/>
  <c r="L294" i="1"/>
  <c r="O294" i="1" s="1"/>
  <c r="O254" i="22"/>
  <c r="L252" i="22"/>
  <c r="P312" i="21"/>
  <c r="M310" i="21"/>
  <c r="P310" i="21" s="1"/>
  <c r="P96" i="20"/>
  <c r="M94" i="20"/>
  <c r="P94" i="20" s="1"/>
  <c r="M20" i="22"/>
  <c r="M18" i="22" s="1"/>
  <c r="O26" i="20"/>
  <c r="L16" i="20"/>
  <c r="O16" i="20" s="1"/>
  <c r="P68" i="15"/>
  <c r="M66" i="15"/>
  <c r="P66" i="15" s="1"/>
  <c r="L43" i="16"/>
  <c r="O45" i="16"/>
  <c r="P252" i="17"/>
  <c r="M250" i="17"/>
  <c r="P250" i="17" s="1"/>
  <c r="L250" i="17"/>
  <c r="O250" i="17" s="1"/>
  <c r="O252" i="17"/>
  <c r="P312" i="10"/>
  <c r="M310" i="10"/>
  <c r="P310" i="10" s="1"/>
  <c r="L252" i="7"/>
  <c r="O254" i="7"/>
  <c r="P273" i="12"/>
  <c r="M271" i="12"/>
  <c r="P271" i="12" s="1"/>
  <c r="O144" i="7"/>
  <c r="L142" i="7"/>
  <c r="L220" i="8"/>
  <c r="O220" i="8" s="1"/>
  <c r="O222" i="8"/>
  <c r="M66" i="3"/>
  <c r="P66" i="3" s="1"/>
  <c r="P68" i="3"/>
  <c r="L9" i="6"/>
  <c r="O11" i="6"/>
  <c r="N37" i="7"/>
  <c r="P220" i="3"/>
  <c r="M41" i="14"/>
  <c r="P43" i="14"/>
  <c r="P53" i="13"/>
  <c r="O96" i="22"/>
  <c r="L94" i="22"/>
  <c r="O94" i="22" s="1"/>
  <c r="N12" i="18"/>
  <c r="N10" i="18" s="1"/>
  <c r="N8" i="18" s="1"/>
  <c r="N20" i="18"/>
  <c r="N18" i="18" s="1"/>
  <c r="P337" i="15"/>
  <c r="M26" i="15"/>
  <c r="M20" i="15" s="1"/>
  <c r="M331" i="15"/>
  <c r="O19" i="16"/>
  <c r="L16" i="11"/>
  <c r="O16" i="11" s="1"/>
  <c r="O26" i="11"/>
  <c r="P19" i="5"/>
  <c r="P337" i="5"/>
  <c r="M331" i="5"/>
  <c r="M337" i="1"/>
  <c r="P337" i="1" s="1"/>
  <c r="P26" i="6"/>
  <c r="N16" i="6"/>
  <c r="P16" i="6" s="1"/>
  <c r="P19" i="4"/>
  <c r="O32" i="7"/>
  <c r="L30" i="7"/>
  <c r="O30" i="7" s="1"/>
  <c r="O24" i="3"/>
  <c r="L14" i="3"/>
  <c r="O14" i="3" s="1"/>
  <c r="O648" i="1"/>
  <c r="P9" i="22"/>
  <c r="O26" i="18"/>
  <c r="L16" i="18"/>
  <c r="O16" i="18" s="1"/>
  <c r="P22" i="8"/>
  <c r="M12" i="8"/>
  <c r="O140" i="6"/>
  <c r="P19" i="6"/>
  <c r="O32" i="8"/>
  <c r="L30" i="8"/>
  <c r="O30" i="8" s="1"/>
  <c r="L13" i="8"/>
  <c r="O13" i="8" s="1"/>
  <c r="O23" i="8"/>
  <c r="P9" i="11"/>
  <c r="O24" i="8"/>
  <c r="L14" i="8"/>
  <c r="O14" i="8" s="1"/>
  <c r="P250" i="6"/>
  <c r="O98" i="4"/>
  <c r="L96" i="4"/>
  <c r="L66" i="7"/>
  <c r="O66" i="7" s="1"/>
  <c r="O68" i="7"/>
  <c r="N29" i="6"/>
  <c r="N28" i="6" s="1"/>
  <c r="N11" i="6"/>
  <c r="N9" i="6" s="1"/>
  <c r="N331" i="1"/>
  <c r="P331" i="2"/>
  <c r="O640" i="3"/>
  <c r="L638" i="3"/>
  <c r="O45" i="3"/>
  <c r="L22" i="3"/>
  <c r="L45" i="1"/>
  <c r="L43" i="3"/>
  <c r="M41" i="2"/>
  <c r="L29" i="9"/>
  <c r="L11" i="9"/>
  <c r="O31" i="9"/>
  <c r="P96" i="5"/>
  <c r="M94" i="5"/>
  <c r="L30" i="18"/>
  <c r="O32" i="18"/>
  <c r="O292" i="13"/>
  <c r="L290" i="13"/>
  <c r="O290" i="13" s="1"/>
  <c r="P53" i="3"/>
  <c r="L9" i="2"/>
  <c r="P53" i="7"/>
  <c r="O98" i="5"/>
  <c r="L96" i="5"/>
  <c r="O331" i="2"/>
  <c r="N222" i="1"/>
  <c r="L118" i="2"/>
  <c r="O120" i="2"/>
  <c r="M273" i="1"/>
  <c r="P68" i="22"/>
  <c r="M66" i="22"/>
  <c r="P66" i="22" s="1"/>
  <c r="O312" i="22"/>
  <c r="L310" i="22"/>
  <c r="O310" i="22" s="1"/>
  <c r="N12" i="22"/>
  <c r="N10" i="22" s="1"/>
  <c r="P22" i="22"/>
  <c r="N20" i="22"/>
  <c r="O273" i="21"/>
  <c r="L271" i="21"/>
  <c r="O271" i="21" s="1"/>
  <c r="O640" i="21"/>
  <c r="L638" i="21"/>
  <c r="N12" i="21"/>
  <c r="N10" i="21" s="1"/>
  <c r="N20" i="21"/>
  <c r="N18" i="21" s="1"/>
  <c r="O142" i="20"/>
  <c r="L140" i="20"/>
  <c r="O140" i="20" s="1"/>
  <c r="M28" i="21"/>
  <c r="P28" i="21" s="1"/>
  <c r="O312" i="19"/>
  <c r="L310" i="19"/>
  <c r="O310" i="19" s="1"/>
  <c r="M41" i="19"/>
  <c r="M94" i="19"/>
  <c r="P94" i="19" s="1"/>
  <c r="P96" i="19"/>
  <c r="O23" i="18"/>
  <c r="L13" i="18"/>
  <c r="O13" i="18" s="1"/>
  <c r="O15" i="18"/>
  <c r="L43" i="18"/>
  <c r="O45" i="18"/>
  <c r="L22" i="18"/>
  <c r="N37" i="15"/>
  <c r="P22" i="17"/>
  <c r="M12" i="17"/>
  <c r="M20" i="17"/>
  <c r="M18" i="17" s="1"/>
  <c r="O19" i="15"/>
  <c r="M329" i="17"/>
  <c r="P329" i="17" s="1"/>
  <c r="P22" i="15"/>
  <c r="M12" i="15"/>
  <c r="L66" i="18"/>
  <c r="O66" i="18" s="1"/>
  <c r="O19" i="17"/>
  <c r="L16" i="14"/>
  <c r="O16" i="14" s="1"/>
  <c r="O26" i="14"/>
  <c r="O312" i="13"/>
  <c r="L310" i="13"/>
  <c r="O310" i="13" s="1"/>
  <c r="P96" i="14"/>
  <c r="M94" i="14"/>
  <c r="P94" i="14" s="1"/>
  <c r="P55" i="13"/>
  <c r="P96" i="13"/>
  <c r="M94" i="13"/>
  <c r="P94" i="13" s="1"/>
  <c r="N20" i="13"/>
  <c r="N18" i="13" s="1"/>
  <c r="N12" i="13"/>
  <c r="N10" i="13" s="1"/>
  <c r="O638" i="12"/>
  <c r="L636" i="12"/>
  <c r="O636" i="12" s="1"/>
  <c r="N20" i="14"/>
  <c r="N18" i="14" s="1"/>
  <c r="N12" i="14"/>
  <c r="N10" i="14" s="1"/>
  <c r="N14" i="12"/>
  <c r="M28" i="10"/>
  <c r="P28" i="10" s="1"/>
  <c r="P29" i="10"/>
  <c r="P22" i="11"/>
  <c r="M12" i="11"/>
  <c r="M290" i="12"/>
  <c r="P290" i="12" s="1"/>
  <c r="L22" i="11"/>
  <c r="P43" i="11"/>
  <c r="O31" i="10"/>
  <c r="L29" i="10"/>
  <c r="O292" i="9"/>
  <c r="L290" i="9"/>
  <c r="O290" i="9" s="1"/>
  <c r="O19" i="13"/>
  <c r="P22" i="12"/>
  <c r="M12" i="12"/>
  <c r="P55" i="8"/>
  <c r="M53" i="8"/>
  <c r="P53" i="8" s="1"/>
  <c r="M271" i="10"/>
  <c r="P271" i="10" s="1"/>
  <c r="L14" i="6"/>
  <c r="O14" i="6" s="1"/>
  <c r="O24" i="6"/>
  <c r="M28" i="4"/>
  <c r="P28" i="4" s="1"/>
  <c r="P29" i="4"/>
  <c r="P22" i="10"/>
  <c r="M12" i="10"/>
  <c r="M20" i="10"/>
  <c r="O68" i="6"/>
  <c r="L66" i="6"/>
  <c r="O66" i="6" s="1"/>
  <c r="L29" i="5"/>
  <c r="L11" i="5"/>
  <c r="O31" i="5"/>
  <c r="M26" i="5"/>
  <c r="P102" i="5"/>
  <c r="M102" i="1"/>
  <c r="P102" i="1" s="1"/>
  <c r="L118" i="12"/>
  <c r="O118" i="12" s="1"/>
  <c r="L329" i="10"/>
  <c r="O329" i="10" s="1"/>
  <c r="O19" i="6"/>
  <c r="N53" i="5"/>
  <c r="M28" i="9"/>
  <c r="P28" i="9" s="1"/>
  <c r="L94" i="19"/>
  <c r="O94" i="19" s="1"/>
  <c r="P22" i="4"/>
  <c r="M12" i="4"/>
  <c r="P271" i="3"/>
  <c r="N12" i="2"/>
  <c r="N10" i="2" s="1"/>
  <c r="N20" i="2"/>
  <c r="N18" i="2" s="1"/>
  <c r="L94" i="14"/>
  <c r="O94" i="14" s="1"/>
  <c r="K633" i="1"/>
  <c r="P273" i="8"/>
  <c r="N271" i="8"/>
  <c r="O120" i="7"/>
  <c r="L118" i="7"/>
  <c r="O118" i="7" s="1"/>
  <c r="P140" i="6"/>
  <c r="P273" i="5"/>
  <c r="N271" i="5"/>
  <c r="P271" i="5" s="1"/>
  <c r="M310" i="4"/>
  <c r="P310" i="4" s="1"/>
  <c r="O273" i="3"/>
  <c r="L271" i="3"/>
  <c r="O271" i="3" s="1"/>
  <c r="O55" i="10"/>
  <c r="L53" i="10"/>
  <c r="O53" i="10" s="1"/>
  <c r="O23" i="7"/>
  <c r="L13" i="7"/>
  <c r="O13" i="7" s="1"/>
  <c r="O252" i="5"/>
  <c r="L250" i="5"/>
  <c r="O250" i="5" s="1"/>
  <c r="M41" i="3"/>
  <c r="P30" i="2"/>
  <c r="M28" i="2"/>
  <c r="P28" i="2" s="1"/>
  <c r="L26" i="1"/>
  <c r="O61" i="1"/>
  <c r="M271" i="9"/>
  <c r="O32" i="2"/>
  <c r="L30" i="2"/>
  <c r="O30" i="2" s="1"/>
  <c r="I367" i="1"/>
  <c r="K367" i="1" s="1"/>
  <c r="K369" i="1"/>
  <c r="N273" i="1"/>
  <c r="P273" i="3"/>
  <c r="N329" i="2"/>
  <c r="P11" i="1"/>
  <c r="M9" i="1"/>
  <c r="O222" i="2"/>
  <c r="P142" i="21"/>
  <c r="O142" i="21"/>
  <c r="O224" i="22"/>
  <c r="L222" i="22"/>
  <c r="P9" i="19"/>
  <c r="O43" i="19"/>
  <c r="L41" i="19"/>
  <c r="P41" i="16"/>
  <c r="N12" i="17"/>
  <c r="N10" i="17" s="1"/>
  <c r="N20" i="17"/>
  <c r="N18" i="17" s="1"/>
  <c r="O120" i="13"/>
  <c r="L118" i="13"/>
  <c r="O32" i="11"/>
  <c r="L30" i="11"/>
  <c r="O30" i="11" s="1"/>
  <c r="O640" i="9"/>
  <c r="L638" i="9"/>
  <c r="P11" i="6"/>
  <c r="M9" i="6"/>
  <c r="O98" i="10"/>
  <c r="L96" i="10"/>
  <c r="P43" i="8"/>
  <c r="P140" i="8"/>
  <c r="O11" i="3"/>
  <c r="L9" i="3"/>
  <c r="O26" i="4"/>
  <c r="L16" i="4"/>
  <c r="O16" i="4" s="1"/>
  <c r="M9" i="5"/>
  <c r="P11" i="5"/>
  <c r="O640" i="20"/>
  <c r="L638" i="20"/>
  <c r="O26" i="21"/>
  <c r="L16" i="21"/>
  <c r="O16" i="21" s="1"/>
  <c r="O96" i="20"/>
  <c r="L94" i="20"/>
  <c r="O94" i="20" s="1"/>
  <c r="O222" i="18"/>
  <c r="L220" i="18"/>
  <c r="O220" i="18" s="1"/>
  <c r="L220" i="15"/>
  <c r="O220" i="15" s="1"/>
  <c r="P22" i="16"/>
  <c r="M12" i="16"/>
  <c r="P331" i="13"/>
  <c r="M329" i="13"/>
  <c r="P329" i="13" s="1"/>
  <c r="N11" i="12"/>
  <c r="N9" i="12" s="1"/>
  <c r="N29" i="12"/>
  <c r="N28" i="12" s="1"/>
  <c r="M9" i="13"/>
  <c r="O26" i="12"/>
  <c r="L16" i="12"/>
  <c r="O16" i="12" s="1"/>
  <c r="P41" i="8"/>
  <c r="P29" i="11"/>
  <c r="M28" i="11"/>
  <c r="P28" i="11" s="1"/>
  <c r="P43" i="9"/>
  <c r="M41" i="9"/>
  <c r="M310" i="8"/>
  <c r="P310" i="8" s="1"/>
  <c r="P312" i="8"/>
  <c r="P220" i="7"/>
  <c r="O23" i="10"/>
  <c r="L13" i="10"/>
  <c r="O13" i="10" s="1"/>
  <c r="O312" i="4"/>
  <c r="L310" i="4"/>
  <c r="O310" i="4" s="1"/>
  <c r="P41" i="10"/>
  <c r="L310" i="10"/>
  <c r="O310" i="10" s="1"/>
  <c r="P53" i="22"/>
  <c r="M329" i="20"/>
  <c r="P329" i="20" s="1"/>
  <c r="O19" i="20"/>
  <c r="P120" i="20"/>
  <c r="M118" i="20"/>
  <c r="P118" i="20" s="1"/>
  <c r="O26" i="19"/>
  <c r="L16" i="19"/>
  <c r="O16" i="19" s="1"/>
  <c r="L55" i="18"/>
  <c r="O57" i="18"/>
  <c r="O24" i="18"/>
  <c r="L14" i="18"/>
  <c r="O14" i="18" s="1"/>
  <c r="L250" i="18"/>
  <c r="O250" i="18" s="1"/>
  <c r="O252" i="18"/>
  <c r="O98" i="17"/>
  <c r="L96" i="17"/>
  <c r="L22" i="17"/>
  <c r="P102" i="16"/>
  <c r="M26" i="16"/>
  <c r="M96" i="16"/>
  <c r="L14" i="17"/>
  <c r="O14" i="17" s="1"/>
  <c r="P41" i="17"/>
  <c r="L329" i="17"/>
  <c r="O329" i="17" s="1"/>
  <c r="P19" i="16"/>
  <c r="O57" i="15"/>
  <c r="L55" i="15"/>
  <c r="O29" i="14"/>
  <c r="L28" i="14"/>
  <c r="O28" i="14" s="1"/>
  <c r="M28" i="13"/>
  <c r="P28" i="13" s="1"/>
  <c r="P29" i="13"/>
  <c r="N28" i="15"/>
  <c r="P22" i="14"/>
  <c r="M12" i="14"/>
  <c r="L53" i="13"/>
  <c r="O53" i="13" s="1"/>
  <c r="O640" i="12"/>
  <c r="N53" i="14"/>
  <c r="M118" i="12"/>
  <c r="P118" i="12" s="1"/>
  <c r="P120" i="12"/>
  <c r="O142" i="11"/>
  <c r="L140" i="11"/>
  <c r="P9" i="10"/>
  <c r="O19" i="8"/>
  <c r="P55" i="11"/>
  <c r="M53" i="11"/>
  <c r="P53" i="11" s="1"/>
  <c r="N12" i="9"/>
  <c r="N10" i="9" s="1"/>
  <c r="N20" i="9"/>
  <c r="N18" i="9" s="1"/>
  <c r="P9" i="14"/>
  <c r="P41" i="11"/>
  <c r="O142" i="8"/>
  <c r="L140" i="8"/>
  <c r="O140" i="8" s="1"/>
  <c r="O70" i="13"/>
  <c r="L68" i="13"/>
  <c r="O19" i="10"/>
  <c r="L140" i="9"/>
  <c r="O140" i="9" s="1"/>
  <c r="M329" i="9"/>
  <c r="P329" i="9" s="1"/>
  <c r="P331" i="9"/>
  <c r="M9" i="4"/>
  <c r="O98" i="7"/>
  <c r="L96" i="7"/>
  <c r="P22" i="6"/>
  <c r="M12" i="6"/>
  <c r="M20" i="6"/>
  <c r="M18" i="6" s="1"/>
  <c r="P43" i="4"/>
  <c r="M41" i="4"/>
  <c r="O222" i="9"/>
  <c r="L220" i="9"/>
  <c r="N12" i="4"/>
  <c r="N10" i="4" s="1"/>
  <c r="N20" i="4"/>
  <c r="N18" i="4" s="1"/>
  <c r="P331" i="7"/>
  <c r="M329" i="7"/>
  <c r="P329" i="7" s="1"/>
  <c r="M53" i="12"/>
  <c r="P120" i="8"/>
  <c r="M120" i="1"/>
  <c r="O55" i="6"/>
  <c r="P222" i="3"/>
  <c r="M222" i="1"/>
  <c r="O456" i="1"/>
  <c r="L31" i="1"/>
  <c r="O26" i="8"/>
  <c r="L16" i="8"/>
  <c r="O16" i="8" s="1"/>
  <c r="P290" i="2"/>
  <c r="O26" i="5"/>
  <c r="M9" i="8"/>
  <c r="P11" i="8"/>
  <c r="L43" i="7"/>
  <c r="L22" i="7"/>
  <c r="O45" i="7"/>
  <c r="O45" i="6"/>
  <c r="L22" i="6"/>
  <c r="L43" i="6"/>
  <c r="O333" i="3"/>
  <c r="L331" i="3"/>
  <c r="L333" i="1"/>
  <c r="O333" i="1" s="1"/>
  <c r="O220" i="2"/>
  <c r="P45" i="1"/>
  <c r="M22" i="1"/>
  <c r="N20" i="8"/>
  <c r="N18" i="8" s="1"/>
  <c r="N12" i="8"/>
  <c r="N10" i="8" s="1"/>
  <c r="N8" i="8" s="1"/>
  <c r="L14" i="7"/>
  <c r="O14" i="7" s="1"/>
  <c r="N20" i="6"/>
  <c r="N18" i="6" s="1"/>
  <c r="N12" i="6"/>
  <c r="O312" i="5"/>
  <c r="L310" i="5"/>
  <c r="P9" i="3"/>
  <c r="M310" i="2"/>
  <c r="M312" i="1"/>
  <c r="P312" i="2"/>
  <c r="O24" i="2"/>
  <c r="L14" i="2"/>
  <c r="O14" i="2" s="1"/>
  <c r="O120" i="17"/>
  <c r="L118" i="17"/>
  <c r="N34" i="1"/>
  <c r="N14" i="1" s="1"/>
  <c r="O385" i="1"/>
  <c r="M10" i="3"/>
  <c r="L224" i="1"/>
  <c r="O224" i="1" s="1"/>
  <c r="O120" i="21"/>
  <c r="L118" i="21"/>
  <c r="O118" i="21" s="1"/>
  <c r="L9" i="20"/>
  <c r="O11" i="20"/>
  <c r="O640" i="15"/>
  <c r="L638" i="15"/>
  <c r="P55" i="14"/>
  <c r="L11" i="8"/>
  <c r="O31" i="8"/>
  <c r="L29" i="8"/>
  <c r="M66" i="12"/>
  <c r="P66" i="12" s="1"/>
  <c r="P68" i="12"/>
  <c r="P22" i="9"/>
  <c r="M12" i="9"/>
  <c r="O23" i="4"/>
  <c r="L13" i="4"/>
  <c r="O13" i="4" s="1"/>
  <c r="L68" i="11"/>
  <c r="O70" i="11"/>
  <c r="N20" i="5"/>
  <c r="N18" i="5" s="1"/>
  <c r="N12" i="5"/>
  <c r="N10" i="5" s="1"/>
  <c r="P118" i="4"/>
  <c r="O98" i="8"/>
  <c r="L96" i="8"/>
  <c r="N310" i="4"/>
  <c r="N312" i="1"/>
  <c r="O32" i="6"/>
  <c r="L30" i="6"/>
  <c r="O30" i="6" s="1"/>
  <c r="P55" i="7"/>
  <c r="L250" i="2"/>
  <c r="O252" i="2"/>
  <c r="P329" i="21"/>
  <c r="P9" i="20"/>
  <c r="N329" i="19"/>
  <c r="P329" i="19" s="1"/>
  <c r="P74" i="18"/>
  <c r="M68" i="18"/>
  <c r="M26" i="18"/>
  <c r="M20" i="18" s="1"/>
  <c r="M74" i="1"/>
  <c r="P74" i="1" s="1"/>
  <c r="M331" i="18"/>
  <c r="O640" i="16"/>
  <c r="O26" i="10"/>
  <c r="L16" i="10"/>
  <c r="O16" i="10" s="1"/>
  <c r="N37" i="20"/>
  <c r="P22" i="18"/>
  <c r="M12" i="18"/>
  <c r="L11" i="11"/>
  <c r="O31" i="11"/>
  <c r="L29" i="11"/>
  <c r="O55" i="12"/>
  <c r="L53" i="12"/>
  <c r="O53" i="12" s="1"/>
  <c r="N12" i="12"/>
  <c r="N10" i="12" s="1"/>
  <c r="N20" i="12"/>
  <c r="N18" i="12" s="1"/>
  <c r="P26" i="10"/>
  <c r="L331" i="6"/>
  <c r="O333" i="6"/>
  <c r="O26" i="6"/>
  <c r="L16" i="6"/>
  <c r="N10" i="11"/>
  <c r="N8" i="11" s="1"/>
  <c r="L41" i="9"/>
  <c r="O43" i="9"/>
  <c r="L636" i="6"/>
  <c r="O636" i="6" s="1"/>
  <c r="O638" i="6"/>
  <c r="M12" i="2"/>
  <c r="P22" i="2"/>
  <c r="M20" i="2"/>
  <c r="N292" i="1"/>
  <c r="P337" i="9"/>
  <c r="M26" i="9"/>
  <c r="M94" i="7"/>
  <c r="P94" i="7" s="1"/>
  <c r="P96" i="7"/>
  <c r="P19" i="7"/>
  <c r="N250" i="1"/>
  <c r="O142" i="4"/>
  <c r="L140" i="4"/>
  <c r="O23" i="6"/>
  <c r="L13" i="6"/>
  <c r="O13" i="6" s="1"/>
  <c r="M140" i="3"/>
  <c r="P140" i="3" s="1"/>
  <c r="P142" i="3"/>
  <c r="O26" i="2"/>
  <c r="L16" i="2"/>
  <c r="O16" i="2" s="1"/>
  <c r="O24" i="9"/>
  <c r="L14" i="9"/>
  <c r="O14" i="9" s="1"/>
  <c r="P55" i="3"/>
  <c r="O31" i="3"/>
  <c r="L29" i="3"/>
  <c r="L638" i="2"/>
  <c r="O640" i="2"/>
  <c r="P250" i="2"/>
  <c r="N32" i="1"/>
  <c r="N30" i="1" s="1"/>
  <c r="O383" i="1"/>
  <c r="L34" i="1"/>
  <c r="N22" i="1"/>
  <c r="P220" i="2"/>
  <c r="L98" i="1"/>
  <c r="O98" i="1" s="1"/>
  <c r="O292" i="2"/>
  <c r="M28" i="22"/>
  <c r="P28" i="22" s="1"/>
  <c r="P29" i="22"/>
  <c r="O32" i="22"/>
  <c r="L30" i="22"/>
  <c r="O30" i="22" s="1"/>
  <c r="L41" i="22"/>
  <c r="O43" i="22"/>
  <c r="P43" i="20"/>
  <c r="M41" i="20"/>
  <c r="O19" i="19"/>
  <c r="N12" i="15"/>
  <c r="N10" i="15" s="1"/>
  <c r="N20" i="15"/>
  <c r="N18" i="15" s="1"/>
  <c r="M26" i="14"/>
  <c r="P49" i="14"/>
  <c r="M49" i="1"/>
  <c r="M43" i="1" s="1"/>
  <c r="P142" i="16"/>
  <c r="M140" i="16"/>
  <c r="P140" i="16" s="1"/>
  <c r="O43" i="14"/>
  <c r="L41" i="14"/>
  <c r="O273" i="11"/>
  <c r="L271" i="11"/>
  <c r="O271" i="11" s="1"/>
  <c r="P22" i="7"/>
  <c r="M12" i="7"/>
  <c r="M20" i="7"/>
  <c r="P222" i="7"/>
  <c r="N12" i="3"/>
  <c r="N10" i="3" s="1"/>
  <c r="N20" i="3"/>
  <c r="N18" i="3" s="1"/>
  <c r="O290" i="2"/>
  <c r="O23" i="5"/>
  <c r="L13" i="5"/>
  <c r="O13" i="5" s="1"/>
  <c r="M10" i="22"/>
  <c r="P26" i="19"/>
  <c r="M16" i="19"/>
  <c r="P16" i="19" s="1"/>
  <c r="L140" i="17"/>
  <c r="O140" i="17" s="1"/>
  <c r="O68" i="16"/>
  <c r="L66" i="16"/>
  <c r="O66" i="16" s="1"/>
  <c r="O222" i="10"/>
  <c r="L220" i="10"/>
  <c r="O273" i="8"/>
  <c r="L271" i="8"/>
  <c r="P222" i="9"/>
  <c r="N220" i="9"/>
  <c r="P220" i="9" s="1"/>
  <c r="O31" i="6"/>
  <c r="L29" i="6"/>
  <c r="M9" i="7"/>
  <c r="P11" i="7"/>
  <c r="O68" i="8"/>
  <c r="L66" i="8"/>
  <c r="O66" i="8" s="1"/>
  <c r="L68" i="4"/>
  <c r="O70" i="4"/>
  <c r="O26" i="7"/>
  <c r="L16" i="7"/>
  <c r="O16" i="7" s="1"/>
  <c r="P331" i="21"/>
  <c r="P273" i="22"/>
  <c r="M271" i="22"/>
  <c r="P271" i="22" s="1"/>
  <c r="O638" i="22"/>
  <c r="L636" i="22"/>
  <c r="O636" i="22" s="1"/>
  <c r="P22" i="21"/>
  <c r="M12" i="21"/>
  <c r="L250" i="21"/>
  <c r="O250" i="21" s="1"/>
  <c r="P11" i="21"/>
  <c r="M9" i="21"/>
  <c r="N12" i="19"/>
  <c r="N10" i="19" s="1"/>
  <c r="N8" i="19" s="1"/>
  <c r="N20" i="19"/>
  <c r="N18" i="19" s="1"/>
  <c r="P29" i="19"/>
  <c r="M28" i="19"/>
  <c r="P28" i="19" s="1"/>
  <c r="L636" i="16"/>
  <c r="O636" i="16" s="1"/>
  <c r="O638" i="16"/>
  <c r="O31" i="17"/>
  <c r="L29" i="17"/>
  <c r="L11" i="17"/>
  <c r="O23" i="17"/>
  <c r="L13" i="17"/>
  <c r="O13" i="17" s="1"/>
  <c r="O31" i="16"/>
  <c r="L29" i="16"/>
  <c r="L14" i="15"/>
  <c r="O14" i="15" s="1"/>
  <c r="O26" i="15"/>
  <c r="L16" i="15"/>
  <c r="O16" i="15" s="1"/>
  <c r="O640" i="14"/>
  <c r="L638" i="14"/>
  <c r="L30" i="15"/>
  <c r="O30" i="15" s="1"/>
  <c r="O32" i="15"/>
  <c r="M9" i="16"/>
  <c r="P11" i="16"/>
  <c r="O23" i="15"/>
  <c r="L13" i="15"/>
  <c r="O13" i="15" s="1"/>
  <c r="P29" i="14"/>
  <c r="M28" i="14"/>
  <c r="P28" i="14" s="1"/>
  <c r="P41" i="13"/>
  <c r="O312" i="14"/>
  <c r="L310" i="14"/>
  <c r="O310" i="14" s="1"/>
  <c r="M18" i="13"/>
  <c r="O32" i="9"/>
  <c r="L30" i="9"/>
  <c r="O30" i="9" s="1"/>
  <c r="O640" i="10"/>
  <c r="L638" i="10"/>
  <c r="O24" i="13"/>
  <c r="L14" i="13"/>
  <c r="O14" i="13" s="1"/>
  <c r="L30" i="10"/>
  <c r="O30" i="10" s="1"/>
  <c r="O32" i="10"/>
  <c r="O98" i="9"/>
  <c r="L96" i="9"/>
  <c r="P41" i="7"/>
  <c r="O252" i="6"/>
  <c r="N140" i="21"/>
  <c r="L22" i="22"/>
  <c r="O29" i="21"/>
  <c r="L28" i="21"/>
  <c r="L9" i="21"/>
  <c r="O68" i="20"/>
  <c r="L66" i="20"/>
  <c r="O66" i="20" s="1"/>
  <c r="P55" i="20"/>
  <c r="M53" i="20"/>
  <c r="P53" i="20" s="1"/>
  <c r="O23" i="22"/>
  <c r="L13" i="22"/>
  <c r="O13" i="22" s="1"/>
  <c r="M26" i="21"/>
  <c r="M20" i="21" s="1"/>
  <c r="P74" i="21"/>
  <c r="M68" i="21"/>
  <c r="P29" i="20"/>
  <c r="M28" i="20"/>
  <c r="P28" i="20" s="1"/>
  <c r="M20" i="19"/>
  <c r="L271" i="19"/>
  <c r="O271" i="19" s="1"/>
  <c r="P19" i="18"/>
  <c r="O640" i="17"/>
  <c r="L638" i="17"/>
  <c r="P22" i="19"/>
  <c r="P68" i="17"/>
  <c r="N68" i="1"/>
  <c r="O292" i="18"/>
  <c r="L290" i="18"/>
  <c r="P19" i="17"/>
  <c r="O70" i="17"/>
  <c r="L68" i="17"/>
  <c r="L11" i="16"/>
  <c r="O26" i="17"/>
  <c r="L16" i="17"/>
  <c r="O16" i="17" s="1"/>
  <c r="M331" i="16"/>
  <c r="L11" i="15"/>
  <c r="O31" i="15"/>
  <c r="L29" i="15"/>
  <c r="P41" i="15"/>
  <c r="L22" i="13"/>
  <c r="L140" i="13"/>
  <c r="O142" i="13"/>
  <c r="O31" i="13"/>
  <c r="L29" i="13"/>
  <c r="L11" i="13"/>
  <c r="O30" i="13"/>
  <c r="O96" i="12"/>
  <c r="L94" i="12"/>
  <c r="O94" i="12" s="1"/>
  <c r="O11" i="10"/>
  <c r="L9" i="10"/>
  <c r="P16" i="13"/>
  <c r="L16" i="13"/>
  <c r="O16" i="13" s="1"/>
  <c r="O26" i="13"/>
  <c r="O292" i="10"/>
  <c r="L290" i="10"/>
  <c r="O290" i="10" s="1"/>
  <c r="O640" i="8"/>
  <c r="L638" i="8"/>
  <c r="L13" i="13"/>
  <c r="O13" i="13" s="1"/>
  <c r="O30" i="12"/>
  <c r="L66" i="9"/>
  <c r="O66" i="9" s="1"/>
  <c r="L22" i="5"/>
  <c r="O23" i="9"/>
  <c r="L13" i="9"/>
  <c r="O13" i="9" s="1"/>
  <c r="M28" i="7"/>
  <c r="P28" i="7" s="1"/>
  <c r="P30" i="7"/>
  <c r="O24" i="10"/>
  <c r="L14" i="10"/>
  <c r="O14" i="10" s="1"/>
  <c r="L250" i="6"/>
  <c r="O250" i="6" s="1"/>
  <c r="P290" i="5"/>
  <c r="L22" i="10"/>
  <c r="O640" i="4"/>
  <c r="L638" i="4"/>
  <c r="O23" i="11"/>
  <c r="L13" i="11"/>
  <c r="O13" i="11" s="1"/>
  <c r="M140" i="10"/>
  <c r="P140" i="10" s="1"/>
  <c r="P142" i="10"/>
  <c r="P16" i="10"/>
  <c r="N12" i="7"/>
  <c r="N10" i="7" s="1"/>
  <c r="N20" i="7"/>
  <c r="N18" i="7" s="1"/>
  <c r="O57" i="5"/>
  <c r="L55" i="5"/>
  <c r="M66" i="4"/>
  <c r="P68" i="4"/>
  <c r="N12" i="10"/>
  <c r="N10" i="10" s="1"/>
  <c r="N20" i="10"/>
  <c r="N18" i="10" s="1"/>
  <c r="N20" i="11"/>
  <c r="N18" i="11" s="1"/>
  <c r="O26" i="9"/>
  <c r="L16" i="9"/>
  <c r="O16" i="9" s="1"/>
  <c r="M140" i="7"/>
  <c r="P140" i="7" s="1"/>
  <c r="M118" i="8"/>
  <c r="P118" i="8" s="1"/>
  <c r="P120" i="5"/>
  <c r="N120" i="1"/>
  <c r="N142" i="1"/>
  <c r="M53" i="4"/>
  <c r="P53" i="4" s="1"/>
  <c r="O23" i="3"/>
  <c r="L13" i="3"/>
  <c r="O13" i="3" s="1"/>
  <c r="L14" i="5"/>
  <c r="O14" i="5" s="1"/>
  <c r="O24" i="5"/>
  <c r="K622" i="1"/>
  <c r="K621" i="1"/>
  <c r="K623" i="1"/>
  <c r="K626" i="1"/>
  <c r="K620" i="1"/>
  <c r="K624" i="1"/>
  <c r="K625" i="1"/>
  <c r="P19" i="8"/>
  <c r="O11" i="4"/>
  <c r="L9" i="4"/>
  <c r="P292" i="2"/>
  <c r="M292" i="1"/>
  <c r="O23" i="2"/>
  <c r="L13" i="2"/>
  <c r="O13" i="2" s="1"/>
  <c r="O314" i="9"/>
  <c r="L312" i="9"/>
  <c r="L9" i="7"/>
  <c r="O640" i="5"/>
  <c r="L638" i="5"/>
  <c r="M12" i="5"/>
  <c r="P22" i="5"/>
  <c r="O53" i="3"/>
  <c r="K635" i="1"/>
  <c r="M140" i="2"/>
  <c r="M142" i="1"/>
  <c r="P142" i="2"/>
  <c r="P9" i="2"/>
  <c r="P252" i="6"/>
  <c r="P53" i="6"/>
  <c r="L30" i="4"/>
  <c r="O30" i="4" s="1"/>
  <c r="O32" i="4"/>
  <c r="P43" i="10"/>
  <c r="O55" i="3"/>
  <c r="M28" i="1"/>
  <c r="P28" i="1" s="1"/>
  <c r="N28" i="3"/>
  <c r="N252" i="1"/>
  <c r="L118" i="16" l="1"/>
  <c r="O118" i="16" s="1"/>
  <c r="L290" i="4"/>
  <c r="O290" i="4" s="1"/>
  <c r="L20" i="12"/>
  <c r="O20" i="12" s="1"/>
  <c r="L9" i="19"/>
  <c r="O9" i="19" s="1"/>
  <c r="O68" i="14"/>
  <c r="N8" i="15"/>
  <c r="L20" i="19"/>
  <c r="L18" i="19" s="1"/>
  <c r="O18" i="19" s="1"/>
  <c r="L140" i="10"/>
  <c r="O140" i="10" s="1"/>
  <c r="L41" i="11"/>
  <c r="O41" i="11" s="1"/>
  <c r="L271" i="17"/>
  <c r="O271" i="17" s="1"/>
  <c r="O55" i="4"/>
  <c r="O292" i="7"/>
  <c r="L271" i="10"/>
  <c r="O271" i="10" s="1"/>
  <c r="O312" i="2"/>
  <c r="L250" i="11"/>
  <c r="O250" i="11" s="1"/>
  <c r="L20" i="21"/>
  <c r="O20" i="21" s="1"/>
  <c r="L53" i="2"/>
  <c r="O53" i="2" s="1"/>
  <c r="M329" i="11"/>
  <c r="P329" i="11" s="1"/>
  <c r="O638" i="13"/>
  <c r="L636" i="18"/>
  <c r="O636" i="18" s="1"/>
  <c r="L271" i="13"/>
  <c r="O271" i="13" s="1"/>
  <c r="O53" i="21"/>
  <c r="O292" i="16"/>
  <c r="O329" i="14"/>
  <c r="L329" i="15"/>
  <c r="O329" i="15" s="1"/>
  <c r="L118" i="8"/>
  <c r="O118" i="8" s="1"/>
  <c r="L12" i="19"/>
  <c r="O12" i="19" s="1"/>
  <c r="L329" i="4"/>
  <c r="O329" i="4" s="1"/>
  <c r="L12" i="12"/>
  <c r="O12" i="12" s="1"/>
  <c r="N8" i="17"/>
  <c r="L271" i="18"/>
  <c r="O271" i="18" s="1"/>
  <c r="O140" i="14"/>
  <c r="L310" i="3"/>
  <c r="O310" i="3" s="1"/>
  <c r="O331" i="9"/>
  <c r="L41" i="15"/>
  <c r="O41" i="15" s="1"/>
  <c r="L250" i="10"/>
  <c r="O250" i="10" s="1"/>
  <c r="N8" i="10"/>
  <c r="L94" i="15"/>
  <c r="O94" i="15" s="1"/>
  <c r="L220" i="14"/>
  <c r="O220" i="14" s="1"/>
  <c r="L66" i="22"/>
  <c r="O66" i="22" s="1"/>
  <c r="L94" i="13"/>
  <c r="O94" i="13" s="1"/>
  <c r="O140" i="13"/>
  <c r="L28" i="12"/>
  <c r="O28" i="12" s="1"/>
  <c r="O22" i="16"/>
  <c r="M16" i="11"/>
  <c r="P16" i="11" s="1"/>
  <c r="L250" i="3"/>
  <c r="O250" i="3" s="1"/>
  <c r="N37" i="13"/>
  <c r="L14" i="1"/>
  <c r="O14" i="1" s="1"/>
  <c r="L329" i="11"/>
  <c r="O329" i="11" s="1"/>
  <c r="N37" i="21"/>
  <c r="L329" i="8"/>
  <c r="O329" i="8" s="1"/>
  <c r="N37" i="12"/>
  <c r="O140" i="4"/>
  <c r="N8" i="14"/>
  <c r="O55" i="19"/>
  <c r="N37" i="6"/>
  <c r="P18" i="3"/>
  <c r="M329" i="22"/>
  <c r="P329" i="22" s="1"/>
  <c r="N37" i="8"/>
  <c r="P26" i="11"/>
  <c r="O273" i="6"/>
  <c r="L329" i="7"/>
  <c r="O329" i="7" s="1"/>
  <c r="O331" i="13"/>
  <c r="L66" i="12"/>
  <c r="O66" i="12" s="1"/>
  <c r="L271" i="5"/>
  <c r="L290" i="14"/>
  <c r="O290" i="14" s="1"/>
  <c r="L12" i="2"/>
  <c r="O12" i="2" s="1"/>
  <c r="L290" i="5"/>
  <c r="O290" i="5" s="1"/>
  <c r="O331" i="22"/>
  <c r="L329" i="19"/>
  <c r="O329" i="19" s="1"/>
  <c r="N8" i="16"/>
  <c r="L636" i="7"/>
  <c r="O636" i="7" s="1"/>
  <c r="N8" i="9"/>
  <c r="O140" i="11"/>
  <c r="L66" i="10"/>
  <c r="O66" i="10" s="1"/>
  <c r="N310" i="1"/>
  <c r="O43" i="10"/>
  <c r="L41" i="13"/>
  <c r="O41" i="13" s="1"/>
  <c r="O273" i="15"/>
  <c r="O142" i="15"/>
  <c r="L53" i="11"/>
  <c r="O53" i="11" s="1"/>
  <c r="L310" i="12"/>
  <c r="O310" i="12" s="1"/>
  <c r="L329" i="16"/>
  <c r="O329" i="16" s="1"/>
  <c r="O43" i="17"/>
  <c r="O312" i="15"/>
  <c r="L250" i="4"/>
  <c r="O250" i="4" s="1"/>
  <c r="L118" i="20"/>
  <c r="O118" i="20" s="1"/>
  <c r="L12" i="9"/>
  <c r="L10" i="9" s="1"/>
  <c r="O10" i="9" s="1"/>
  <c r="O222" i="7"/>
  <c r="O55" i="7"/>
  <c r="L329" i="12"/>
  <c r="O329" i="12" s="1"/>
  <c r="O252" i="9"/>
  <c r="L250" i="9"/>
  <c r="O250" i="9" s="1"/>
  <c r="L41" i="2"/>
  <c r="O43" i="8"/>
  <c r="O222" i="13"/>
  <c r="N8" i="4"/>
  <c r="L94" i="18"/>
  <c r="O94" i="18" s="1"/>
  <c r="N66" i="1"/>
  <c r="O142" i="2"/>
  <c r="P18" i="13"/>
  <c r="L310" i="20"/>
  <c r="O310" i="20" s="1"/>
  <c r="O222" i="3"/>
  <c r="O96" i="2"/>
  <c r="L290" i="12"/>
  <c r="O290" i="12" s="1"/>
  <c r="O222" i="12"/>
  <c r="O271" i="5"/>
  <c r="O252" i="14"/>
  <c r="O120" i="19"/>
  <c r="N8" i="7"/>
  <c r="N37" i="11"/>
  <c r="L53" i="8"/>
  <c r="O53" i="8" s="1"/>
  <c r="L290" i="15"/>
  <c r="O290" i="15" s="1"/>
  <c r="L20" i="20"/>
  <c r="O20" i="20" s="1"/>
  <c r="L310" i="11"/>
  <c r="O310" i="11" s="1"/>
  <c r="L12" i="20"/>
  <c r="L10" i="20" s="1"/>
  <c r="O10" i="20" s="1"/>
  <c r="L310" i="21"/>
  <c r="O310" i="21" s="1"/>
  <c r="M16" i="12"/>
  <c r="P16" i="12" s="1"/>
  <c r="P26" i="12"/>
  <c r="O28" i="21"/>
  <c r="L140" i="12"/>
  <c r="O140" i="12" s="1"/>
  <c r="O118" i="13"/>
  <c r="O292" i="17"/>
  <c r="L292" i="1"/>
  <c r="O292" i="1" s="1"/>
  <c r="O273" i="22"/>
  <c r="L271" i="22"/>
  <c r="O271" i="22" s="1"/>
  <c r="N10" i="6"/>
  <c r="N8" i="6" s="1"/>
  <c r="M96" i="1"/>
  <c r="P96" i="1" s="1"/>
  <c r="L329" i="18"/>
  <c r="O329" i="18" s="1"/>
  <c r="N11" i="1"/>
  <c r="N9" i="1" s="1"/>
  <c r="L220" i="4"/>
  <c r="O220" i="4" s="1"/>
  <c r="O68" i="2"/>
  <c r="M220" i="1"/>
  <c r="N8" i="5"/>
  <c r="L222" i="1"/>
  <c r="O222" i="1" s="1"/>
  <c r="L41" i="21"/>
  <c r="O41" i="21" s="1"/>
  <c r="O22" i="14"/>
  <c r="N8" i="3"/>
  <c r="O120" i="3"/>
  <c r="L271" i="4"/>
  <c r="O271" i="4" s="1"/>
  <c r="O273" i="4"/>
  <c r="O43" i="12"/>
  <c r="O220" i="10"/>
  <c r="L28" i="7"/>
  <c r="O28" i="7" s="1"/>
  <c r="M20" i="8"/>
  <c r="M18" i="8" s="1"/>
  <c r="P18" i="8" s="1"/>
  <c r="O68" i="5"/>
  <c r="P26" i="8"/>
  <c r="P220" i="10"/>
  <c r="P12" i="20"/>
  <c r="O290" i="18"/>
  <c r="L94" i="6"/>
  <c r="O94" i="6" s="1"/>
  <c r="P10" i="20"/>
  <c r="N8" i="22"/>
  <c r="L271" i="12"/>
  <c r="O271" i="12" s="1"/>
  <c r="P252" i="1"/>
  <c r="M329" i="8"/>
  <c r="P329" i="8" s="1"/>
  <c r="O271" i="2"/>
  <c r="L636" i="11"/>
  <c r="O636" i="11" s="1"/>
  <c r="L118" i="11"/>
  <c r="O118" i="11" s="1"/>
  <c r="L636" i="19"/>
  <c r="O636" i="19" s="1"/>
  <c r="O331" i="14"/>
  <c r="L250" i="20"/>
  <c r="O250" i="20" s="1"/>
  <c r="P10" i="22"/>
  <c r="P118" i="13"/>
  <c r="L20" i="14"/>
  <c r="O20" i="14" s="1"/>
  <c r="L12" i="21"/>
  <c r="L10" i="21" s="1"/>
  <c r="O10" i="21" s="1"/>
  <c r="P12" i="22"/>
  <c r="L20" i="16"/>
  <c r="O20" i="16" s="1"/>
  <c r="M94" i="12"/>
  <c r="P94" i="12" s="1"/>
  <c r="N37" i="2"/>
  <c r="O22" i="2"/>
  <c r="O640" i="1"/>
  <c r="L271" i="9"/>
  <c r="O271" i="9" s="1"/>
  <c r="O310" i="5"/>
  <c r="O273" i="20"/>
  <c r="M37" i="13"/>
  <c r="L140" i="16"/>
  <c r="O140" i="16" s="1"/>
  <c r="L13" i="1"/>
  <c r="O13" i="1" s="1"/>
  <c r="L120" i="1"/>
  <c r="O120" i="1" s="1"/>
  <c r="O271" i="8"/>
  <c r="L12" i="8"/>
  <c r="O12" i="8" s="1"/>
  <c r="O57" i="1"/>
  <c r="P271" i="8"/>
  <c r="O120" i="5"/>
  <c r="N37" i="14"/>
  <c r="L638" i="1"/>
  <c r="O638" i="1" s="1"/>
  <c r="L20" i="15"/>
  <c r="L18" i="15" s="1"/>
  <c r="O18" i="15" s="1"/>
  <c r="L12" i="15"/>
  <c r="L10" i="15" s="1"/>
  <c r="O10" i="15" s="1"/>
  <c r="L250" i="12"/>
  <c r="O250" i="12" s="1"/>
  <c r="P18" i="17"/>
  <c r="O312" i="18"/>
  <c r="L310" i="18"/>
  <c r="O310" i="18" s="1"/>
  <c r="N8" i="13"/>
  <c r="N8" i="21"/>
  <c r="P18" i="20"/>
  <c r="L12" i="4"/>
  <c r="O12" i="4" s="1"/>
  <c r="L220" i="17"/>
  <c r="O220" i="17" s="1"/>
  <c r="O222" i="17"/>
  <c r="N8" i="2"/>
  <c r="O22" i="4"/>
  <c r="O312" i="7"/>
  <c r="L310" i="7"/>
  <c r="O310" i="7" s="1"/>
  <c r="P20" i="13"/>
  <c r="O14" i="12"/>
  <c r="O22" i="8"/>
  <c r="L118" i="9"/>
  <c r="O118" i="9" s="1"/>
  <c r="O120" i="9"/>
  <c r="L118" i="10"/>
  <c r="O118" i="10" s="1"/>
  <c r="O120" i="10"/>
  <c r="O142" i="18"/>
  <c r="L140" i="18"/>
  <c r="O140" i="18" s="1"/>
  <c r="P312" i="1"/>
  <c r="M37" i="10"/>
  <c r="P37" i="10" s="1"/>
  <c r="N8" i="12"/>
  <c r="L273" i="1"/>
  <c r="O273" i="1" s="1"/>
  <c r="L20" i="9"/>
  <c r="O20" i="9" s="1"/>
  <c r="L290" i="22"/>
  <c r="O290" i="22" s="1"/>
  <c r="P10" i="13"/>
  <c r="O222" i="11"/>
  <c r="L220" i="11"/>
  <c r="O220" i="11" s="1"/>
  <c r="L53" i="9"/>
  <c r="O53" i="9" s="1"/>
  <c r="O55" i="9"/>
  <c r="N37" i="4"/>
  <c r="M37" i="17"/>
  <c r="L9" i="18"/>
  <c r="O9" i="18" s="1"/>
  <c r="M8" i="22"/>
  <c r="L142" i="1"/>
  <c r="O142" i="1" s="1"/>
  <c r="N290" i="1"/>
  <c r="M68" i="1"/>
  <c r="P68" i="1" s="1"/>
  <c r="M250" i="1"/>
  <c r="P250" i="1" s="1"/>
  <c r="M290" i="1"/>
  <c r="O53" i="14"/>
  <c r="P20" i="18"/>
  <c r="M18" i="18"/>
  <c r="P18" i="18" s="1"/>
  <c r="P12" i="13"/>
  <c r="P20" i="7"/>
  <c r="O34" i="1"/>
  <c r="L252" i="1"/>
  <c r="O252" i="1" s="1"/>
  <c r="O118" i="17"/>
  <c r="M37" i="6"/>
  <c r="N37" i="19"/>
  <c r="O292" i="11"/>
  <c r="L290" i="11"/>
  <c r="O290" i="11" s="1"/>
  <c r="L329" i="20"/>
  <c r="O329" i="20" s="1"/>
  <c r="O331" i="20"/>
  <c r="O96" i="3"/>
  <c r="L94" i="3"/>
  <c r="O94" i="3" s="1"/>
  <c r="O142" i="19"/>
  <c r="L140" i="19"/>
  <c r="O140" i="19" s="1"/>
  <c r="O29" i="20"/>
  <c r="L28" i="20"/>
  <c r="O28" i="20" s="1"/>
  <c r="N37" i="18"/>
  <c r="O68" i="19"/>
  <c r="L66" i="19"/>
  <c r="O66" i="19" s="1"/>
  <c r="P10" i="3"/>
  <c r="M20" i="4"/>
  <c r="P20" i="4" s="1"/>
  <c r="O252" i="7"/>
  <c r="L250" i="7"/>
  <c r="O250" i="7" s="1"/>
  <c r="O312" i="16"/>
  <c r="L310" i="16"/>
  <c r="O310" i="16" s="1"/>
  <c r="O252" i="19"/>
  <c r="N118" i="1"/>
  <c r="N37" i="17"/>
  <c r="M37" i="7"/>
  <c r="P37" i="7" s="1"/>
  <c r="N220" i="1"/>
  <c r="O142" i="7"/>
  <c r="L140" i="7"/>
  <c r="O140" i="7" s="1"/>
  <c r="O252" i="22"/>
  <c r="L250" i="22"/>
  <c r="O250" i="22" s="1"/>
  <c r="L290" i="3"/>
  <c r="O290" i="3" s="1"/>
  <c r="O292" i="3"/>
  <c r="N37" i="16"/>
  <c r="O292" i="21"/>
  <c r="L290" i="21"/>
  <c r="O290" i="21" s="1"/>
  <c r="P26" i="4"/>
  <c r="O43" i="16"/>
  <c r="L41" i="16"/>
  <c r="O41" i="16" s="1"/>
  <c r="P20" i="20"/>
  <c r="M94" i="4"/>
  <c r="P94" i="4" s="1"/>
  <c r="P96" i="4"/>
  <c r="P271" i="16"/>
  <c r="O30" i="19"/>
  <c r="L28" i="19"/>
  <c r="O28" i="19" s="1"/>
  <c r="O312" i="6"/>
  <c r="L310" i="6"/>
  <c r="O310" i="6" s="1"/>
  <c r="O120" i="6"/>
  <c r="L118" i="6"/>
  <c r="O118" i="6" s="1"/>
  <c r="O220" i="21"/>
  <c r="P18" i="6"/>
  <c r="P20" i="3"/>
  <c r="O142" i="5"/>
  <c r="L140" i="5"/>
  <c r="O140" i="5" s="1"/>
  <c r="O120" i="15"/>
  <c r="L118" i="15"/>
  <c r="O118" i="15" s="1"/>
  <c r="N53" i="1"/>
  <c r="P53" i="1" s="1"/>
  <c r="P55" i="1"/>
  <c r="P68" i="21"/>
  <c r="M66" i="21"/>
  <c r="P331" i="18"/>
  <c r="M329" i="18"/>
  <c r="P329" i="18" s="1"/>
  <c r="L20" i="7"/>
  <c r="O22" i="7"/>
  <c r="L12" i="7"/>
  <c r="O96" i="7"/>
  <c r="L94" i="7"/>
  <c r="O94" i="7" s="1"/>
  <c r="L9" i="9"/>
  <c r="O11" i="9"/>
  <c r="P66" i="4"/>
  <c r="P20" i="21"/>
  <c r="M18" i="21"/>
  <c r="P18" i="21" s="1"/>
  <c r="O41" i="9"/>
  <c r="M310" i="1"/>
  <c r="P310" i="2"/>
  <c r="O222" i="22"/>
  <c r="L220" i="22"/>
  <c r="O220" i="22" s="1"/>
  <c r="O53" i="4"/>
  <c r="O29" i="9"/>
  <c r="L28" i="9"/>
  <c r="O28" i="9" s="1"/>
  <c r="L310" i="9"/>
  <c r="O310" i="9" s="1"/>
  <c r="O312" i="9"/>
  <c r="O55" i="5"/>
  <c r="L53" i="5"/>
  <c r="L20" i="10"/>
  <c r="L12" i="10"/>
  <c r="O22" i="10"/>
  <c r="M10" i="19"/>
  <c r="P26" i="21"/>
  <c r="M16" i="21"/>
  <c r="P16" i="21" s="1"/>
  <c r="O22" i="22"/>
  <c r="L12" i="22"/>
  <c r="L20" i="22"/>
  <c r="P9" i="16"/>
  <c r="O11" i="17"/>
  <c r="L9" i="17"/>
  <c r="P9" i="7"/>
  <c r="P12" i="7"/>
  <c r="M10" i="7"/>
  <c r="P10" i="7" s="1"/>
  <c r="M16" i="18"/>
  <c r="P16" i="18" s="1"/>
  <c r="P26" i="18"/>
  <c r="O29" i="8"/>
  <c r="L28" i="8"/>
  <c r="O28" i="8" s="1"/>
  <c r="P12" i="3"/>
  <c r="M8" i="3"/>
  <c r="O43" i="6"/>
  <c r="L41" i="6"/>
  <c r="P222" i="1"/>
  <c r="P9" i="4"/>
  <c r="P12" i="14"/>
  <c r="O96" i="17"/>
  <c r="L94" i="17"/>
  <c r="O94" i="17" s="1"/>
  <c r="O9" i="3"/>
  <c r="P9" i="6"/>
  <c r="O11" i="5"/>
  <c r="L9" i="5"/>
  <c r="P12" i="15"/>
  <c r="P20" i="17"/>
  <c r="L20" i="18"/>
  <c r="O22" i="18"/>
  <c r="L12" i="18"/>
  <c r="N18" i="22"/>
  <c r="P18" i="22" s="1"/>
  <c r="P20" i="22"/>
  <c r="P273" i="1"/>
  <c r="O96" i="5"/>
  <c r="L94" i="5"/>
  <c r="O94" i="5" s="1"/>
  <c r="P41" i="2"/>
  <c r="M37" i="2"/>
  <c r="O30" i="1"/>
  <c r="N140" i="1"/>
  <c r="M16" i="15"/>
  <c r="P16" i="15" s="1"/>
  <c r="P26" i="15"/>
  <c r="O20" i="8"/>
  <c r="N37" i="9"/>
  <c r="O55" i="1"/>
  <c r="L53" i="1"/>
  <c r="O638" i="4"/>
  <c r="L636" i="4"/>
  <c r="O636" i="4" s="1"/>
  <c r="M37" i="20"/>
  <c r="P37" i="20" s="1"/>
  <c r="P41" i="20"/>
  <c r="O638" i="15"/>
  <c r="L636" i="15"/>
  <c r="O636" i="15" s="1"/>
  <c r="O331" i="3"/>
  <c r="L329" i="3"/>
  <c r="L331" i="1"/>
  <c r="O331" i="1" s="1"/>
  <c r="L28" i="4"/>
  <c r="O28" i="4" s="1"/>
  <c r="P26" i="5"/>
  <c r="M16" i="5"/>
  <c r="P16" i="5" s="1"/>
  <c r="P41" i="14"/>
  <c r="M37" i="14"/>
  <c r="P331" i="16"/>
  <c r="M329" i="16"/>
  <c r="P329" i="16" s="1"/>
  <c r="P9" i="21"/>
  <c r="M12" i="1"/>
  <c r="P22" i="1"/>
  <c r="O43" i="7"/>
  <c r="L41" i="7"/>
  <c r="P271" i="9"/>
  <c r="M271" i="1"/>
  <c r="L28" i="6"/>
  <c r="O28" i="6" s="1"/>
  <c r="O29" i="6"/>
  <c r="P12" i="2"/>
  <c r="M10" i="2"/>
  <c r="P68" i="18"/>
  <c r="M66" i="18"/>
  <c r="P53" i="12"/>
  <c r="M37" i="9"/>
  <c r="P41" i="9"/>
  <c r="O26" i="1"/>
  <c r="L16" i="1"/>
  <c r="O16" i="1" s="1"/>
  <c r="O29" i="5"/>
  <c r="L28" i="5"/>
  <c r="O28" i="5" s="1"/>
  <c r="M18" i="10"/>
  <c r="P18" i="10" s="1"/>
  <c r="P20" i="10"/>
  <c r="P20" i="12"/>
  <c r="M18" i="12"/>
  <c r="P18" i="12" s="1"/>
  <c r="P20" i="11"/>
  <c r="M18" i="11"/>
  <c r="P18" i="11" s="1"/>
  <c r="O41" i="12"/>
  <c r="P12" i="17"/>
  <c r="M10" i="17"/>
  <c r="P94" i="5"/>
  <c r="O43" i="3"/>
  <c r="L41" i="3"/>
  <c r="O32" i="1"/>
  <c r="P331" i="5"/>
  <c r="M329" i="5"/>
  <c r="M331" i="1"/>
  <c r="P331" i="1" s="1"/>
  <c r="N271" i="1"/>
  <c r="L18" i="12"/>
  <c r="O18" i="12" s="1"/>
  <c r="L28" i="13"/>
  <c r="O28" i="13" s="1"/>
  <c r="O29" i="13"/>
  <c r="O68" i="17"/>
  <c r="L66" i="17"/>
  <c r="O41" i="14"/>
  <c r="O29" i="3"/>
  <c r="L28" i="3"/>
  <c r="O28" i="3" s="1"/>
  <c r="O331" i="6"/>
  <c r="L329" i="6"/>
  <c r="O329" i="6" s="1"/>
  <c r="P43" i="1"/>
  <c r="M41" i="1"/>
  <c r="M37" i="3"/>
  <c r="P37" i="3" s="1"/>
  <c r="P41" i="3"/>
  <c r="O30" i="18"/>
  <c r="L28" i="18"/>
  <c r="O28" i="18" s="1"/>
  <c r="O9" i="7"/>
  <c r="P20" i="19"/>
  <c r="M18" i="19"/>
  <c r="P18" i="19" s="1"/>
  <c r="M118" i="1"/>
  <c r="L20" i="17"/>
  <c r="L12" i="17"/>
  <c r="O22" i="17"/>
  <c r="O22" i="11"/>
  <c r="L12" i="11"/>
  <c r="L20" i="11"/>
  <c r="P331" i="15"/>
  <c r="M329" i="15"/>
  <c r="M20" i="5"/>
  <c r="O16" i="6"/>
  <c r="O29" i="11"/>
  <c r="L28" i="11"/>
  <c r="O28" i="11" s="1"/>
  <c r="P12" i="9"/>
  <c r="O20" i="2"/>
  <c r="L18" i="2"/>
  <c r="O18" i="2" s="1"/>
  <c r="M140" i="1"/>
  <c r="P140" i="2"/>
  <c r="P12" i="5"/>
  <c r="O638" i="8"/>
  <c r="L636" i="8"/>
  <c r="O636" i="8" s="1"/>
  <c r="O96" i="9"/>
  <c r="L94" i="9"/>
  <c r="O94" i="9" s="1"/>
  <c r="L28" i="16"/>
  <c r="O28" i="16" s="1"/>
  <c r="O29" i="16"/>
  <c r="O68" i="4"/>
  <c r="L66" i="4"/>
  <c r="O66" i="4" s="1"/>
  <c r="L68" i="1"/>
  <c r="O68" i="1" s="1"/>
  <c r="N12" i="1"/>
  <c r="N10" i="1" s="1"/>
  <c r="N20" i="1"/>
  <c r="N18" i="1" s="1"/>
  <c r="M18" i="7"/>
  <c r="P18" i="7" s="1"/>
  <c r="P26" i="9"/>
  <c r="M16" i="9"/>
  <c r="P16" i="9" s="1"/>
  <c r="P12" i="18"/>
  <c r="O11" i="8"/>
  <c r="L9" i="8"/>
  <c r="P12" i="6"/>
  <c r="M10" i="6"/>
  <c r="P96" i="16"/>
  <c r="M94" i="16"/>
  <c r="L636" i="9"/>
  <c r="O636" i="9" s="1"/>
  <c r="O638" i="9"/>
  <c r="P9" i="1"/>
  <c r="P12" i="10"/>
  <c r="M10" i="10"/>
  <c r="L28" i="10"/>
  <c r="O28" i="10" s="1"/>
  <c r="O29" i="10"/>
  <c r="P12" i="11"/>
  <c r="O43" i="18"/>
  <c r="L41" i="18"/>
  <c r="O638" i="21"/>
  <c r="L636" i="21"/>
  <c r="O636" i="21" s="1"/>
  <c r="L22" i="1"/>
  <c r="O45" i="1"/>
  <c r="L43" i="1"/>
  <c r="O96" i="4"/>
  <c r="L94" i="4"/>
  <c r="P12" i="8"/>
  <c r="M10" i="8"/>
  <c r="P10" i="8" s="1"/>
  <c r="O66" i="2"/>
  <c r="M8" i="20"/>
  <c r="P8" i="20" s="1"/>
  <c r="O68" i="11"/>
  <c r="L66" i="11"/>
  <c r="O66" i="11" s="1"/>
  <c r="O9" i="20"/>
  <c r="L29" i="1"/>
  <c r="O31" i="1"/>
  <c r="L11" i="1"/>
  <c r="O55" i="18"/>
  <c r="L53" i="18"/>
  <c r="O53" i="18" s="1"/>
  <c r="P12" i="16"/>
  <c r="O96" i="10"/>
  <c r="L94" i="10"/>
  <c r="O94" i="10" s="1"/>
  <c r="P292" i="1"/>
  <c r="O12" i="14"/>
  <c r="L10" i="14"/>
  <c r="P26" i="14"/>
  <c r="M16" i="14"/>
  <c r="P16" i="14" s="1"/>
  <c r="P20" i="2"/>
  <c r="M18" i="2"/>
  <c r="P18" i="2" s="1"/>
  <c r="P41" i="4"/>
  <c r="M20" i="14"/>
  <c r="N329" i="1"/>
  <c r="O329" i="2"/>
  <c r="P329" i="2"/>
  <c r="P12" i="4"/>
  <c r="M10" i="4"/>
  <c r="P10" i="4" s="1"/>
  <c r="P12" i="12"/>
  <c r="M18" i="15"/>
  <c r="P18" i="15" s="1"/>
  <c r="P20" i="15"/>
  <c r="L636" i="3"/>
  <c r="O636" i="3" s="1"/>
  <c r="O638" i="3"/>
  <c r="P142" i="1"/>
  <c r="O9" i="4"/>
  <c r="P53" i="14"/>
  <c r="O29" i="15"/>
  <c r="L28" i="15"/>
  <c r="O28" i="15" s="1"/>
  <c r="P12" i="19"/>
  <c r="O140" i="21"/>
  <c r="P140" i="21"/>
  <c r="L28" i="17"/>
  <c r="O28" i="17" s="1"/>
  <c r="O29" i="17"/>
  <c r="O41" i="22"/>
  <c r="O310" i="2"/>
  <c r="L20" i="6"/>
  <c r="L12" i="6"/>
  <c r="O22" i="6"/>
  <c r="P9" i="8"/>
  <c r="P20" i="6"/>
  <c r="O68" i="13"/>
  <c r="L66" i="13"/>
  <c r="O66" i="13" s="1"/>
  <c r="O638" i="20"/>
  <c r="L636" i="20"/>
  <c r="O636" i="20" s="1"/>
  <c r="O41" i="19"/>
  <c r="O638" i="5"/>
  <c r="L636" i="5"/>
  <c r="O636" i="5" s="1"/>
  <c r="L28" i="2"/>
  <c r="O28" i="2" s="1"/>
  <c r="O22" i="5"/>
  <c r="L12" i="5"/>
  <c r="L20" i="5"/>
  <c r="O9" i="10"/>
  <c r="O11" i="13"/>
  <c r="L9" i="13"/>
  <c r="L20" i="13"/>
  <c r="O22" i="13"/>
  <c r="L12" i="13"/>
  <c r="O11" i="15"/>
  <c r="L9" i="15"/>
  <c r="O11" i="16"/>
  <c r="L9" i="16"/>
  <c r="O638" i="17"/>
  <c r="L636" i="17"/>
  <c r="O636" i="17" s="1"/>
  <c r="O9" i="21"/>
  <c r="O638" i="10"/>
  <c r="L636" i="10"/>
  <c r="O636" i="10" s="1"/>
  <c r="O638" i="14"/>
  <c r="L636" i="14"/>
  <c r="O636" i="14" s="1"/>
  <c r="P12" i="21"/>
  <c r="M26" i="1"/>
  <c r="M20" i="1" s="1"/>
  <c r="P49" i="1"/>
  <c r="L636" i="2"/>
  <c r="O636" i="2" s="1"/>
  <c r="O638" i="2"/>
  <c r="O11" i="11"/>
  <c r="L9" i="11"/>
  <c r="O250" i="2"/>
  <c r="O96" i="8"/>
  <c r="L94" i="8"/>
  <c r="O94" i="8" s="1"/>
  <c r="M20" i="9"/>
  <c r="L96" i="1"/>
  <c r="O96" i="1" s="1"/>
  <c r="P120" i="1"/>
  <c r="O220" i="9"/>
  <c r="O18" i="8"/>
  <c r="O55" i="15"/>
  <c r="L53" i="15"/>
  <c r="O53" i="15" s="1"/>
  <c r="O12" i="16"/>
  <c r="L10" i="16"/>
  <c r="O10" i="16" s="1"/>
  <c r="P26" i="16"/>
  <c r="M16" i="16"/>
  <c r="P16" i="16" s="1"/>
  <c r="M8" i="13"/>
  <c r="P9" i="13"/>
  <c r="M20" i="16"/>
  <c r="L312" i="1"/>
  <c r="O312" i="1" s="1"/>
  <c r="P9" i="5"/>
  <c r="N37" i="5"/>
  <c r="P53" i="5"/>
  <c r="M37" i="19"/>
  <c r="P41" i="19"/>
  <c r="L28" i="22"/>
  <c r="O28" i="22" s="1"/>
  <c r="O118" i="2"/>
  <c r="O9" i="2"/>
  <c r="L20" i="3"/>
  <c r="O22" i="3"/>
  <c r="L12" i="3"/>
  <c r="O41" i="10"/>
  <c r="N28" i="1"/>
  <c r="O20" i="4"/>
  <c r="L18" i="4"/>
  <c r="O18" i="4" s="1"/>
  <c r="O9" i="6"/>
  <c r="O20" i="19" l="1"/>
  <c r="L10" i="12"/>
  <c r="L8" i="12" s="1"/>
  <c r="O8" i="12" s="1"/>
  <c r="L18" i="21"/>
  <c r="O18" i="21" s="1"/>
  <c r="M37" i="11"/>
  <c r="P37" i="11" s="1"/>
  <c r="L37" i="2"/>
  <c r="O37" i="2" s="1"/>
  <c r="L10" i="19"/>
  <c r="O10" i="19" s="1"/>
  <c r="M10" i="11"/>
  <c r="M8" i="11" s="1"/>
  <c r="P8" i="11" s="1"/>
  <c r="O41" i="2"/>
  <c r="L10" i="2"/>
  <c r="O10" i="2" s="1"/>
  <c r="P37" i="13"/>
  <c r="L18" i="16"/>
  <c r="O18" i="16" s="1"/>
  <c r="M37" i="8"/>
  <c r="P37" i="8" s="1"/>
  <c r="M37" i="22"/>
  <c r="P37" i="22" s="1"/>
  <c r="P37" i="6"/>
  <c r="L37" i="14"/>
  <c r="O37" i="14" s="1"/>
  <c r="O12" i="20"/>
  <c r="O12" i="9"/>
  <c r="P310" i="1"/>
  <c r="L10" i="8"/>
  <c r="O10" i="8" s="1"/>
  <c r="L18" i="20"/>
  <c r="O18" i="20" s="1"/>
  <c r="P37" i="14"/>
  <c r="P37" i="19"/>
  <c r="P10" i="6"/>
  <c r="P220" i="1"/>
  <c r="M10" i="12"/>
  <c r="P10" i="12" s="1"/>
  <c r="L636" i="1"/>
  <c r="O636" i="1" s="1"/>
  <c r="P8" i="3"/>
  <c r="M66" i="1"/>
  <c r="P66" i="1" s="1"/>
  <c r="L37" i="21"/>
  <c r="O37" i="21" s="1"/>
  <c r="N8" i="1"/>
  <c r="P37" i="17"/>
  <c r="M37" i="12"/>
  <c r="P37" i="12" s="1"/>
  <c r="P37" i="2"/>
  <c r="P8" i="22"/>
  <c r="L271" i="1"/>
  <c r="O271" i="1" s="1"/>
  <c r="P20" i="8"/>
  <c r="O12" i="21"/>
  <c r="O20" i="15"/>
  <c r="M94" i="1"/>
  <c r="P94" i="1" s="1"/>
  <c r="O53" i="1"/>
  <c r="L18" i="14"/>
  <c r="O18" i="14" s="1"/>
  <c r="O12" i="15"/>
  <c r="P8" i="13"/>
  <c r="L10" i="4"/>
  <c r="O10" i="4" s="1"/>
  <c r="L37" i="19"/>
  <c r="O37" i="19" s="1"/>
  <c r="M37" i="4"/>
  <c r="P37" i="4" s="1"/>
  <c r="L220" i="1"/>
  <c r="O220" i="1" s="1"/>
  <c r="L37" i="12"/>
  <c r="O37" i="12" s="1"/>
  <c r="M8" i="8"/>
  <c r="P8" i="8" s="1"/>
  <c r="L18" i="9"/>
  <c r="O18" i="9" s="1"/>
  <c r="L250" i="1"/>
  <c r="O250" i="1" s="1"/>
  <c r="L37" i="22"/>
  <c r="O37" i="22" s="1"/>
  <c r="L140" i="1"/>
  <c r="O140" i="1" s="1"/>
  <c r="L37" i="20"/>
  <c r="O37" i="20" s="1"/>
  <c r="M8" i="6"/>
  <c r="P8" i="6" s="1"/>
  <c r="L290" i="1"/>
  <c r="O290" i="1" s="1"/>
  <c r="P290" i="1"/>
  <c r="P118" i="1"/>
  <c r="L118" i="1"/>
  <c r="O118" i="1" s="1"/>
  <c r="P140" i="1"/>
  <c r="M18" i="4"/>
  <c r="P18" i="4" s="1"/>
  <c r="L37" i="10"/>
  <c r="O37" i="10" s="1"/>
  <c r="M10" i="16"/>
  <c r="P10" i="16" s="1"/>
  <c r="L37" i="16"/>
  <c r="O37" i="16" s="1"/>
  <c r="M8" i="7"/>
  <c r="P8" i="7" s="1"/>
  <c r="L8" i="20"/>
  <c r="O8" i="20" s="1"/>
  <c r="P37" i="9"/>
  <c r="M10" i="14"/>
  <c r="M8" i="14" s="1"/>
  <c r="P8" i="14" s="1"/>
  <c r="L310" i="1"/>
  <c r="O310" i="1" s="1"/>
  <c r="N37" i="1"/>
  <c r="L37" i="8"/>
  <c r="O37" i="8" s="1"/>
  <c r="P20" i="1"/>
  <c r="M18" i="1"/>
  <c r="P18" i="1" s="1"/>
  <c r="O29" i="1"/>
  <c r="L28" i="1"/>
  <c r="O28" i="1" s="1"/>
  <c r="M10" i="9"/>
  <c r="O20" i="17"/>
  <c r="L18" i="17"/>
  <c r="O18" i="17" s="1"/>
  <c r="L37" i="6"/>
  <c r="O37" i="6" s="1"/>
  <c r="O41" i="6"/>
  <c r="O20" i="10"/>
  <c r="L18" i="10"/>
  <c r="O18" i="10" s="1"/>
  <c r="L37" i="15"/>
  <c r="O37" i="15" s="1"/>
  <c r="P12" i="1"/>
  <c r="O53" i="5"/>
  <c r="L37" i="5"/>
  <c r="O37" i="5" s="1"/>
  <c r="P20" i="9"/>
  <c r="M18" i="9"/>
  <c r="P18" i="9" s="1"/>
  <c r="O9" i="13"/>
  <c r="L37" i="18"/>
  <c r="O37" i="18" s="1"/>
  <c r="O41" i="18"/>
  <c r="P10" i="10"/>
  <c r="M8" i="10"/>
  <c r="P8" i="10" s="1"/>
  <c r="P94" i="16"/>
  <c r="M37" i="16"/>
  <c r="P37" i="16" s="1"/>
  <c r="L37" i="13"/>
  <c r="O37" i="13" s="1"/>
  <c r="P271" i="1"/>
  <c r="M10" i="15"/>
  <c r="O20" i="22"/>
  <c r="L18" i="22"/>
  <c r="O18" i="22" s="1"/>
  <c r="O9" i="9"/>
  <c r="L8" i="9"/>
  <c r="O8" i="9" s="1"/>
  <c r="O12" i="13"/>
  <c r="L10" i="13"/>
  <c r="O10" i="13" s="1"/>
  <c r="O12" i="6"/>
  <c r="L10" i="6"/>
  <c r="O20" i="3"/>
  <c r="L18" i="3"/>
  <c r="O18" i="3" s="1"/>
  <c r="P26" i="1"/>
  <c r="M16" i="1"/>
  <c r="P16" i="1" s="1"/>
  <c r="L8" i="16"/>
  <c r="O8" i="16" s="1"/>
  <c r="O9" i="16"/>
  <c r="O20" i="13"/>
  <c r="L18" i="13"/>
  <c r="O18" i="13" s="1"/>
  <c r="O12" i="5"/>
  <c r="L10" i="5"/>
  <c r="O10" i="5" s="1"/>
  <c r="O43" i="1"/>
  <c r="L41" i="1"/>
  <c r="O9" i="8"/>
  <c r="O66" i="17"/>
  <c r="L37" i="17"/>
  <c r="O37" i="17" s="1"/>
  <c r="O10" i="12"/>
  <c r="L37" i="4"/>
  <c r="O37" i="4" s="1"/>
  <c r="O20" i="7"/>
  <c r="L18" i="7"/>
  <c r="O18" i="7" s="1"/>
  <c r="M10" i="21"/>
  <c r="L8" i="21"/>
  <c r="O8" i="21" s="1"/>
  <c r="O9" i="15"/>
  <c r="L8" i="15"/>
  <c r="O8" i="15" s="1"/>
  <c r="L9" i="1"/>
  <c r="O11" i="1"/>
  <c r="O22" i="1"/>
  <c r="L12" i="1"/>
  <c r="L20" i="1"/>
  <c r="M10" i="18"/>
  <c r="M10" i="5"/>
  <c r="L37" i="3"/>
  <c r="O37" i="3" s="1"/>
  <c r="O41" i="3"/>
  <c r="O329" i="3"/>
  <c r="L329" i="1"/>
  <c r="O329" i="1" s="1"/>
  <c r="O12" i="22"/>
  <c r="L10" i="22"/>
  <c r="L37" i="11"/>
  <c r="O37" i="11" s="1"/>
  <c r="L37" i="9"/>
  <c r="O37" i="9" s="1"/>
  <c r="L10" i="3"/>
  <c r="O12" i="3"/>
  <c r="O20" i="5"/>
  <c r="L18" i="5"/>
  <c r="O18" i="5" s="1"/>
  <c r="O20" i="6"/>
  <c r="L18" i="6"/>
  <c r="O18" i="6" s="1"/>
  <c r="L66" i="1"/>
  <c r="O66" i="1" s="1"/>
  <c r="P329" i="15"/>
  <c r="M37" i="15"/>
  <c r="P37" i="15" s="1"/>
  <c r="O20" i="18"/>
  <c r="L18" i="18"/>
  <c r="O18" i="18" s="1"/>
  <c r="O9" i="11"/>
  <c r="P10" i="2"/>
  <c r="M8" i="2"/>
  <c r="P8" i="2" s="1"/>
  <c r="P10" i="19"/>
  <c r="M8" i="19"/>
  <c r="P8" i="19" s="1"/>
  <c r="P20" i="14"/>
  <c r="M18" i="14"/>
  <c r="P18" i="14" s="1"/>
  <c r="L18" i="11"/>
  <c r="O18" i="11" s="1"/>
  <c r="O20" i="11"/>
  <c r="O41" i="7"/>
  <c r="L37" i="7"/>
  <c r="O37" i="7" s="1"/>
  <c r="L10" i="18"/>
  <c r="O12" i="18"/>
  <c r="O9" i="5"/>
  <c r="M8" i="4"/>
  <c r="P8" i="4" s="1"/>
  <c r="O9" i="17"/>
  <c r="O10" i="14"/>
  <c r="L8" i="14"/>
  <c r="O8" i="14" s="1"/>
  <c r="O94" i="4"/>
  <c r="L94" i="1"/>
  <c r="O94" i="1" s="1"/>
  <c r="P20" i="5"/>
  <c r="M18" i="5"/>
  <c r="P18" i="5" s="1"/>
  <c r="O12" i="11"/>
  <c r="L10" i="11"/>
  <c r="O10" i="11" s="1"/>
  <c r="O12" i="17"/>
  <c r="L10" i="17"/>
  <c r="O10" i="17" s="1"/>
  <c r="P41" i="1"/>
  <c r="M329" i="1"/>
  <c r="P329" i="1" s="1"/>
  <c r="P329" i="5"/>
  <c r="M37" i="5"/>
  <c r="P37" i="5" s="1"/>
  <c r="M8" i="17"/>
  <c r="P8" i="17" s="1"/>
  <c r="P10" i="17"/>
  <c r="P66" i="18"/>
  <c r="M37" i="18"/>
  <c r="P37" i="18" s="1"/>
  <c r="L10" i="10"/>
  <c r="O12" i="10"/>
  <c r="O12" i="7"/>
  <c r="L10" i="7"/>
  <c r="P66" i="21"/>
  <c r="M37" i="21"/>
  <c r="P37" i="21" s="1"/>
  <c r="P20" i="16"/>
  <c r="M18" i="16"/>
  <c r="P18" i="16" s="1"/>
  <c r="P10" i="11" l="1"/>
  <c r="L8" i="19"/>
  <c r="O8" i="19" s="1"/>
  <c r="L8" i="2"/>
  <c r="O8" i="2" s="1"/>
  <c r="L8" i="8"/>
  <c r="O8" i="8" s="1"/>
  <c r="M8" i="12"/>
  <c r="P8" i="12" s="1"/>
  <c r="P10" i="14"/>
  <c r="M8" i="16"/>
  <c r="P8" i="16" s="1"/>
  <c r="L8" i="4"/>
  <c r="O8" i="4" s="1"/>
  <c r="L8" i="11"/>
  <c r="O8" i="11" s="1"/>
  <c r="M10" i="1"/>
  <c r="P10" i="1" s="1"/>
  <c r="L8" i="5"/>
  <c r="O8" i="5" s="1"/>
  <c r="O10" i="22"/>
  <c r="L8" i="22"/>
  <c r="O8" i="22" s="1"/>
  <c r="P10" i="5"/>
  <c r="M8" i="5"/>
  <c r="P8" i="5" s="1"/>
  <c r="O9" i="1"/>
  <c r="P10" i="9"/>
  <c r="M8" i="9"/>
  <c r="P8" i="9" s="1"/>
  <c r="O41" i="1"/>
  <c r="L37" i="1"/>
  <c r="O37" i="1" s="1"/>
  <c r="O10" i="6"/>
  <c r="L8" i="6"/>
  <c r="O8" i="6" s="1"/>
  <c r="O10" i="7"/>
  <c r="L8" i="7"/>
  <c r="O8" i="7" s="1"/>
  <c r="M37" i="1"/>
  <c r="P37" i="1" s="1"/>
  <c r="L8" i="17"/>
  <c r="O8" i="17" s="1"/>
  <c r="O10" i="18"/>
  <c r="L8" i="18"/>
  <c r="O8" i="18" s="1"/>
  <c r="M8" i="18"/>
  <c r="P8" i="18" s="1"/>
  <c r="P10" i="18"/>
  <c r="P10" i="21"/>
  <c r="M8" i="21"/>
  <c r="P8" i="21" s="1"/>
  <c r="P10" i="15"/>
  <c r="M8" i="15"/>
  <c r="P8" i="15" s="1"/>
  <c r="L8" i="13"/>
  <c r="O8" i="13" s="1"/>
  <c r="O10" i="3"/>
  <c r="L8" i="3"/>
  <c r="O8" i="3" s="1"/>
  <c r="O20" i="1"/>
  <c r="L18" i="1"/>
  <c r="O18" i="1" s="1"/>
  <c r="O12" i="1"/>
  <c r="L10" i="1"/>
  <c r="O10" i="1" s="1"/>
  <c r="O10" i="10"/>
  <c r="L8" i="10"/>
  <c r="O8" i="10" s="1"/>
  <c r="L8" i="1" l="1"/>
  <c r="O8" i="1" s="1"/>
  <c r="M8" i="1"/>
  <c r="P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<sst xmlns="http://schemas.openxmlformats.org/spreadsheetml/2006/main" count="28952" uniqueCount="303">
  <si>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</si>
  <si>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</si>
  <si>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</si>
  <si>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</si>
  <si>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</si>
  <si>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</si>
  <si>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</si>
  <si>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</si>
  <si>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</si>
  <si>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</si>
  <si>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</si>
  <si>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</si>
  <si>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</si>
  <si>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</si>
  <si>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</si>
  <si>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</si>
  <si>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</si>
  <si>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</si>
  <si>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</si>
  <si>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</si>
  <si>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</si>
  <si>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</si>
  <si>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</si>
  <si>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</si>
  <si>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</si>
  <si>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</si>
  <si>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</si>
  <si>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</si>
  <si>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</si>
  <si>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</si>
  <si>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</si>
  <si>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</si>
  <si>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</si>
  <si>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</si>
  <si>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</si>
  <si>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</si>
  <si>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</si>
  <si>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</si>
  <si>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</si>
  <si>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</si>
  <si>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</si>
  <si>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</si>
  <si>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</si>
  <si>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</si>
  <si>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</si>
  <si>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</si>
  <si>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</si>
  <si>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</si>
  <si>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</si>
  <si>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</si>
  <si>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</si>
  <si>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</si>
  <si>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</si>
  <si>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</si>
  <si>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</si>
  <si>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</si>
  <si>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</si>
  <si>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</si>
  <si>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</si>
  <si>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</si>
  <si>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</si>
  <si>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</si>
  <si>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</si>
  <si>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</si>
  <si>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</si>
  <si>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</si>
  <si>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</si>
  <si>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</si>
  <si>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</si>
  <si>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</si>
  <si>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</si>
  <si>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</si>
  <si>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</si>
  <si>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</si>
  <si>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</si>
  <si>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</si>
  <si>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</si>
  <si>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</si>
  <si>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</si>
  <si>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</si>
  <si>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</si>
  <si>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</si>
  <si>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</si>
  <si>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</si>
  <si>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</si>
  <si>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</si>
  <si>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</si>
  <si>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</si>
  <si>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</si>
  <si>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</si>
  <si>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</si>
  <si>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</si>
  <si>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</si>
  <si>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</si>
  <si>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</si>
  <si>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</si>
  <si>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</si>
  <si>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</si>
  <si>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</si>
  <si>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</si>
  <si>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</si>
  <si>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</si>
  <si>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</si>
  <si>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</si>
  <si>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</si>
  <si>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</si>
  <si>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</si>
  <si>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</si>
  <si>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</si>
  <si>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</si>
  <si>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</si>
  <si>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</si>
  <si>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</si>
  <si>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</si>
  <si>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</si>
  <si>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</si>
  <si>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</si>
  <si>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</si>
  <si>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</si>
  <si>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</si>
  <si>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</si>
  <si>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</si>
  <si>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</si>
  <si>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</si>
  <si>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</si>
  <si>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</si>
  <si>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</si>
  <si>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</si>
  <si>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</si>
  <si>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</si>
  <si>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</si>
  <si>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</si>
  <si>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</si>
  <si>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</si>
  <si>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</si>
  <si>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</si>
  <si>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</si>
  <si>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</si>
  <si>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</si>
  <si>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</si>
  <si>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</si>
  <si>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</si>
  <si>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</si>
  <si>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</si>
  <si>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</si>
  <si>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</si>
  <si>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</si>
  <si>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</si>
  <si>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</si>
  <si>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</si>
  <si>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</si>
  <si>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</si>
  <si>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</si>
  <si>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</si>
  <si>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</si>
  <si>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</si>
  <si>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</si>
  <si>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</si>
  <si>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</si>
  <si>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</si>
  <si>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</si>
  <si>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</si>
  <si>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</si>
  <si>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</si>
  <si>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</si>
  <si>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</si>
  <si>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</si>
  <si>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</si>
  <si>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</si>
  <si>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</si>
  <si>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</si>
  <si>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</si>
  <si>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</si>
  <si>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</si>
  <si>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</si>
  <si>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</si>
  <si>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</si>
  <si>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</si>
  <si>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</si>
  <si>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</si>
  <si>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</si>
  <si>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</si>
  <si>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</si>
  <si>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</si>
  <si>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</si>
  <si>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</si>
  <si>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</si>
  <si>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</si>
  <si>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</si>
  <si>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</si>
  <si>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</si>
  <si>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</si>
  <si>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</si>
  <si>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</si>
  <si>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</si>
  <si>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</si>
  <si>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</si>
  <si>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</si>
  <si>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</si>
  <si>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</si>
  <si>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</si>
  <si>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</si>
  <si>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</si>
  <si>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</si>
  <si>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</si>
  <si>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</si>
  <si>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</si>
  <si>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</si>
  <si>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</si>
  <si>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</si>
  <si>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</si>
  <si>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</si>
  <si>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</si>
  <si>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</si>
  <si>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</si>
  <si>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</si>
  <si>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</si>
  <si>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</si>
  <si>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</si>
  <si>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</si>
  <si>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</si>
  <si>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</si>
  <si>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</si>
  <si>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</si>
  <si>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</si>
  <si>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</si>
  <si>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</si>
  <si>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</si>
  <si>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</si>
  <si>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</si>
  <si>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</si>
  <si>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</si>
  <si>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</si>
  <si>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</si>
  <si>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</si>
  <si>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</si>
  <si>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</si>
  <si>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</si>
  <si>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</si>
  <si>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</si>
  <si>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</si>
  <si>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</si>
  <si>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</si>
  <si>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</si>
  <si>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</si>
  <si>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</si>
  <si>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</si>
  <si>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</si>
  <si>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</si>
  <si>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</si>
  <si>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</si>
  <si>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</si>
  <si>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</si>
  <si>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</si>
  <si>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</si>
  <si>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</si>
  <si>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</si>
  <si>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</si>
  <si>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</si>
  <si>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</si>
  <si>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</si>
  <si>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</si>
  <si>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</si>
  <si>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</si>
  <si>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</si>
  <si>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</si>
  <si>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</si>
  <si>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</si>
  <si>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</si>
  <si>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</si>
  <si>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</si>
  <si>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</si>
  <si>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</si>
  <si>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</si>
  <si>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</si>
  <si>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</si>
  <si>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</si>
  <si>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</si>
  <si>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</si>
  <si>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</si>
  <si>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</si>
  <si>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</si>
  <si>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</si>
  <si>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</si>
  <si>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</si>
  <si>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</si>
  <si>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</si>
  <si>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</si>
  <si>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</si>
  <si>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</si>
  <si>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</si>
  <si>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</si>
  <si>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</si>
  <si>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</si>
  <si>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</si>
  <si>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</si>
  <si>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</si>
  <si>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</si>
  <si>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</si>
  <si>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</si>
  <si>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</si>
  <si>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</si>
  <si>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กรกฎาคม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</si>
</sst>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1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1" fontId="18" fillId="6" borderId="19" xfId="0" applyNumberFormat="1" applyFont="1" applyFill="1" applyBorder="1" applyAlignment="1">
      <alignment horizontal="right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8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7.5703125" bestFit="1" customWidth="1"/>
    <col min="10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1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ca="1">L9+L10</f>
        <v>94218995</v>
      </c>
      <c r="M8" s="23">
        <f ca="1">M9+M10</f>
        <v>67810079.769999996</v>
      </c>
      <c r="N8" s="23">
        <f ca="1">N9+N10</f>
        <v>72645991.030000001</v>
      </c>
      <c r="O8" s="22">
        <f t="shared" ref="O8:O16" ca="1" si="0">IF(L8&gt;0,N8*100/L8,0)</f>
        <v>77.103338907403966</v>
      </c>
      <c r="P8" s="22">
        <f t="shared" ref="P8:P16" ca="1" si="1">IF(M8&gt;0,N8*100/M8,0)</f>
        <v>107.13155223589557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10" ca="1" si="2">L11+L15</f>
        <v>0</v>
      </c>
      <c r="M9" s="30">
        <f t="shared" si="2"/>
        <v>0</v>
      </c>
      <c r="N9" s="30">
        <f t="shared" ca="1" si="2"/>
        <v>0</v>
      </c>
      <c r="O9" s="29">
        <f t="shared" ca="1" si="0"/>
        <v>0</v>
      </c>
      <c r="P9" s="29">
        <f t="shared" si="1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ca="1" si="2"/>
        <v>94218995</v>
      </c>
      <c r="M10" s="30">
        <f t="shared" ca="1" si="2"/>
        <v>67810079.769999996</v>
      </c>
      <c r="N10" s="30">
        <f t="shared" ca="1" si="2"/>
        <v>72645991.030000001</v>
      </c>
      <c r="O10" s="29">
        <f t="shared" ca="1" si="0"/>
        <v>77.103338907403966</v>
      </c>
      <c r="P10" s="29">
        <f t="shared" ca="1" si="1"/>
        <v>107.13155223589557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6" ca="1" si="3">L21+L31</f>
        <v>0</v>
      </c>
      <c r="M11" s="38">
        <f t="shared" si="3"/>
        <v>0</v>
      </c>
      <c r="N11" s="38">
        <f t="shared" ca="1" si="3"/>
        <v>0</v>
      </c>
      <c r="O11" s="38">
        <f t="shared" ca="1" si="0"/>
        <v>0</v>
      </c>
      <c r="P11" s="38">
        <f t="shared" si="1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ca="1" si="3"/>
        <v>84031929</v>
      </c>
      <c r="M12" s="38">
        <f t="shared" ca="1" si="3"/>
        <v>57693163.769999996</v>
      </c>
      <c r="N12" s="38">
        <f t="shared" ca="1" si="3"/>
        <v>62665541.030000001</v>
      </c>
      <c r="O12" s="38">
        <f t="shared" ca="1" si="0"/>
        <v>74.573488643822515</v>
      </c>
      <c r="P12" s="38">
        <f t="shared" ca="1" si="1"/>
        <v>108.61865936113838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ca="1" si="3"/>
        <v>36670500</v>
      </c>
      <c r="M13" s="38">
        <f t="shared" si="3"/>
        <v>0</v>
      </c>
      <c r="N13" s="38">
        <f t="shared" ca="1" si="3"/>
        <v>0</v>
      </c>
      <c r="O13" s="38">
        <f t="shared" ca="1" si="0"/>
        <v>0</v>
      </c>
      <c r="P13" s="38">
        <f t="shared" si="1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ca="1" si="3"/>
        <v>47361429</v>
      </c>
      <c r="M14" s="38">
        <f t="shared" si="3"/>
        <v>0</v>
      </c>
      <c r="N14" s="38">
        <f t="shared" ca="1" si="3"/>
        <v>16657059.859999999</v>
      </c>
      <c r="O14" s="38">
        <f t="shared" ca="1" si="0"/>
        <v>35.170095606701395</v>
      </c>
      <c r="P14" s="38">
        <f t="shared" si="1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si="3"/>
        <v>0</v>
      </c>
      <c r="M15" s="38">
        <f t="shared" si="3"/>
        <v>0</v>
      </c>
      <c r="N15" s="38">
        <f t="shared" si="3"/>
        <v>0</v>
      </c>
      <c r="O15" s="41">
        <f t="shared" si="0"/>
        <v>0</v>
      </c>
      <c r="P15" s="41">
        <f t="shared" si="1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ca="1" si="3"/>
        <v>10187066</v>
      </c>
      <c r="M16" s="38">
        <f t="shared" ca="1" si="3"/>
        <v>10116916</v>
      </c>
      <c r="N16" s="38">
        <f t="shared" ca="1" si="3"/>
        <v>9980450</v>
      </c>
      <c r="O16" s="49">
        <f t="shared" ca="1" si="0"/>
        <v>97.971781080047975</v>
      </c>
      <c r="P16" s="49">
        <f t="shared" ca="1" si="1"/>
        <v>98.651110674438726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ca="1">L19+L20</f>
        <v>66288376</v>
      </c>
      <c r="M18" s="23">
        <f ca="1">M19+M20</f>
        <v>67810079.769999996</v>
      </c>
      <c r="N18" s="23">
        <f ca="1">N19+N20</f>
        <v>55988931.170000002</v>
      </c>
      <c r="O18" s="22">
        <f t="shared" ref="O18:O26" ca="1" si="4">IF(L18&gt;0,N18*100/L18,0)</f>
        <v>84.462668341731586</v>
      </c>
      <c r="P18" s="22">
        <f t="shared" ref="P18:P26" ca="1" si="5">IF(M18&gt;0,N18*100/M18,0)</f>
        <v>82.567269290796773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20" si="6">L21+L25</f>
        <v>0</v>
      </c>
      <c r="M19" s="30">
        <f t="shared" si="6"/>
        <v>0</v>
      </c>
      <c r="N19" s="30">
        <f t="shared" si="6"/>
        <v>0</v>
      </c>
      <c r="O19" s="29">
        <f t="shared" si="4"/>
        <v>0</v>
      </c>
      <c r="P19" s="29">
        <f t="shared" si="5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ca="1" si="6"/>
        <v>66288376</v>
      </c>
      <c r="M20" s="30">
        <f t="shared" ca="1" si="6"/>
        <v>67810079.769999996</v>
      </c>
      <c r="N20" s="30">
        <f t="shared" ca="1" si="6"/>
        <v>55988931.170000002</v>
      </c>
      <c r="O20" s="29">
        <f t="shared" ca="1" si="4"/>
        <v>84.462668341731586</v>
      </c>
      <c r="P20" s="29">
        <f t="shared" ca="1" si="5"/>
        <v>82.567269290796773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6" si="7">L44+L56+L69+L97+L121+L143+L223+L253+L274+L293+L313+L332</f>
        <v>0</v>
      </c>
      <c r="M21" s="41">
        <f t="shared" si="7"/>
        <v>0</v>
      </c>
      <c r="N21" s="38">
        <f t="shared" si="7"/>
        <v>0</v>
      </c>
      <c r="O21" s="38">
        <f t="shared" si="4"/>
        <v>0</v>
      </c>
      <c r="P21" s="38">
        <f t="shared" si="5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ca="1" si="7"/>
        <v>56101310</v>
      </c>
      <c r="M22" s="41">
        <f t="shared" ca="1" si="7"/>
        <v>57693163.769999996</v>
      </c>
      <c r="N22" s="38">
        <f t="shared" ca="1" si="7"/>
        <v>46008481.170000002</v>
      </c>
      <c r="O22" s="38">
        <f t="shared" ca="1" si="4"/>
        <v>82.009637867636243</v>
      </c>
      <c r="P22" s="38">
        <f t="shared" ca="1" si="5"/>
        <v>79.746850690001608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ca="1" si="7"/>
        <v>36670500</v>
      </c>
      <c r="M23" s="41">
        <f t="shared" si="7"/>
        <v>0</v>
      </c>
      <c r="N23" s="38">
        <f t="shared" si="7"/>
        <v>0</v>
      </c>
      <c r="O23" s="38">
        <f t="shared" ca="1" si="4"/>
        <v>0</v>
      </c>
      <c r="P23" s="38">
        <f t="shared" si="5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ca="1" si="7"/>
        <v>19430810</v>
      </c>
      <c r="M24" s="41">
        <f t="shared" si="7"/>
        <v>0</v>
      </c>
      <c r="N24" s="38">
        <f t="shared" si="7"/>
        <v>0</v>
      </c>
      <c r="O24" s="38">
        <f t="shared" ca="1" si="4"/>
        <v>0</v>
      </c>
      <c r="P24" s="38">
        <f t="shared" si="5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si="7"/>
        <v>0</v>
      </c>
      <c r="M25" s="41">
        <f t="shared" si="7"/>
        <v>0</v>
      </c>
      <c r="N25" s="41">
        <f t="shared" si="7"/>
        <v>0</v>
      </c>
      <c r="O25" s="41">
        <f t="shared" si="4"/>
        <v>0</v>
      </c>
      <c r="P25" s="41">
        <f t="shared" si="5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ca="1" si="7"/>
        <v>10187066</v>
      </c>
      <c r="M26" s="49">
        <f t="shared" ca="1" si="7"/>
        <v>10116916</v>
      </c>
      <c r="N26" s="49">
        <f t="shared" ca="1" si="7"/>
        <v>9980450</v>
      </c>
      <c r="O26" s="49">
        <f t="shared" ca="1" si="4"/>
        <v>97.971781080047975</v>
      </c>
      <c r="P26" s="49">
        <f t="shared" ca="1" si="5"/>
        <v>98.651110674438726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ca="1">L29+L30</f>
        <v>27930619</v>
      </c>
      <c r="M28" s="23">
        <f>M29+M30</f>
        <v>0</v>
      </c>
      <c r="N28" s="23">
        <f ca="1">N29+N30</f>
        <v>16657059.859999999</v>
      </c>
      <c r="O28" s="22">
        <f t="shared" ref="O28:O30" ca="1" si="8">IF(L28&gt;0,N28*100/L28,0)</f>
        <v>59.637274275947838</v>
      </c>
      <c r="P28" s="22">
        <f t="shared" ref="P28:P37" si="9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30" ca="1" si="10">L31+L35</f>
        <v>0</v>
      </c>
      <c r="M29" s="30">
        <f t="shared" si="10"/>
        <v>0</v>
      </c>
      <c r="N29" s="30">
        <f t="shared" ca="1" si="10"/>
        <v>0</v>
      </c>
      <c r="O29" s="29">
        <f t="shared" ca="1" si="8"/>
        <v>0</v>
      </c>
      <c r="P29" s="29">
        <f t="shared" si="9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ca="1" si="10"/>
        <v>27930619</v>
      </c>
      <c r="M30" s="30">
        <f t="shared" si="10"/>
        <v>0</v>
      </c>
      <c r="N30" s="30">
        <f t="shared" ca="1" si="10"/>
        <v>16657059.859999999</v>
      </c>
      <c r="O30" s="29">
        <f t="shared" ca="1" si="8"/>
        <v>59.637274275947838</v>
      </c>
      <c r="P30" s="29">
        <f t="shared" si="9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4" ca="1" si="11">L351+L382+L403+L436+L456+L534+L552+L565+L581+L598</f>
        <v>0</v>
      </c>
      <c r="M31" s="38">
        <f t="shared" si="11"/>
        <v>0</v>
      </c>
      <c r="N31" s="38">
        <f t="shared" ca="1" si="11"/>
        <v>0</v>
      </c>
      <c r="O31" s="38">
        <f t="shared" ref="O31:O37" ca="1" si="12">IF(L31&gt;0,N31*100/L31,0)</f>
        <v>0</v>
      </c>
      <c r="P31" s="38">
        <f t="shared" si="9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ca="1" si="11"/>
        <v>27930619</v>
      </c>
      <c r="M32" s="38">
        <f t="shared" si="11"/>
        <v>0</v>
      </c>
      <c r="N32" s="38">
        <f t="shared" ca="1" si="11"/>
        <v>16657059.859999999</v>
      </c>
      <c r="O32" s="38">
        <f t="shared" ca="1" si="12"/>
        <v>59.637274275947838</v>
      </c>
      <c r="P32" s="38">
        <f t="shared" si="9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ca="1" si="11"/>
        <v>0</v>
      </c>
      <c r="M33" s="38">
        <f t="shared" si="11"/>
        <v>0</v>
      </c>
      <c r="N33" s="38">
        <f t="shared" ca="1" si="11"/>
        <v>0</v>
      </c>
      <c r="O33" s="38">
        <f t="shared" ca="1" si="12"/>
        <v>0</v>
      </c>
      <c r="P33" s="38">
        <f t="shared" si="9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ca="1" si="11"/>
        <v>27930619</v>
      </c>
      <c r="M34" s="38">
        <f t="shared" si="11"/>
        <v>0</v>
      </c>
      <c r="N34" s="38">
        <f t="shared" ca="1" si="11"/>
        <v>16657059.859999999</v>
      </c>
      <c r="O34" s="38">
        <f t="shared" ca="1" si="12"/>
        <v>59.637274275947838</v>
      </c>
      <c r="P34" s="38">
        <f t="shared" si="9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12"/>
        <v>0</v>
      </c>
      <c r="P35" s="41">
        <f t="shared" si="9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12"/>
        <v>0</v>
      </c>
      <c r="P36" s="49">
        <f t="shared" si="9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66288376</v>
      </c>
      <c r="M37" s="54">
        <f t="shared" ca="1" si="13"/>
        <v>67810079.769999996</v>
      </c>
      <c r="N37" s="54">
        <f t="shared" ca="1" si="13"/>
        <v>55988931.169999994</v>
      </c>
      <c r="O37" s="55">
        <f t="shared" ca="1" si="12"/>
        <v>84.462668341731572</v>
      </c>
      <c r="P37" s="55">
        <f t="shared" ca="1" si="9"/>
        <v>82.567269290796759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ca="1">L42+L43</f>
        <v>16502466</v>
      </c>
      <c r="M41" s="78">
        <f ca="1">M42+M43</f>
        <v>16825181</v>
      </c>
      <c r="N41" s="78">
        <f ca="1">N42+N43</f>
        <v>14413333.470000001</v>
      </c>
      <c r="O41" s="77">
        <f t="shared" ref="O41:O43" ca="1" si="14">IF(L41&gt;0,N41*100/L41,0)</f>
        <v>87.34048274966905</v>
      </c>
      <c r="P41" s="77">
        <f t="shared" ref="P41:P43" ca="1" si="15">IF(M41&gt;0,N41*100/M41,0)</f>
        <v>85.665250614540199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16502466</v>
      </c>
      <c r="M43" s="78">
        <f t="shared" ca="1" si="16"/>
        <v>16825181</v>
      </c>
      <c r="N43" s="78">
        <f t="shared" ca="1" si="16"/>
        <v>14413333.470000001</v>
      </c>
      <c r="O43" s="77">
        <f t="shared" ca="1" si="14"/>
        <v>87.34048274966905</v>
      </c>
      <c r="P43" s="77">
        <f t="shared" ca="1" si="15"/>
        <v>85.665250614540199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49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14256565</v>
      </c>
      <c r="N45" s="49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11963733.470000001</v>
      </c>
      <c r="O45" s="38">
        <f ca="1">IF(L45&gt;0,N45*100/L45,0)</f>
        <v>86.295386296587495</v>
      </c>
      <c r="P45" s="38">
        <f ca="1">IF(M45&gt;0,N45*100/M45,0)</f>
        <v>83.917363474301141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2638766</v>
      </c>
      <c r="M49" s="49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2568616</v>
      </c>
      <c r="N49" s="49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2449600</v>
      </c>
      <c r="O49" s="49">
        <f ca="1">IF(L49&gt;0,N49*100/L49,0)</f>
        <v>92.83127037410668</v>
      </c>
      <c r="P49" s="49">
        <f ca="1">IF(M49&gt;0,N49*100/M49,0)</f>
        <v>95.366532015684712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17">L54+L55</f>
        <v>8065800</v>
      </c>
      <c r="M53" s="121">
        <f t="shared" ca="1" si="17"/>
        <v>8105613.7699999996</v>
      </c>
      <c r="N53" s="121">
        <f t="shared" ca="1" si="17"/>
        <v>7213425.4900000002</v>
      </c>
      <c r="O53" s="120">
        <f t="shared" ref="O53:O55" ca="1" si="18">IF(L53&gt;0,N53*100/L53,0)</f>
        <v>89.432238463636594</v>
      </c>
      <c r="P53" s="120">
        <f t="shared" ref="P53:P55" ca="1" si="19">IF(M53&gt;0,N53*100/M53,0)</f>
        <v>88.992958395055638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20">L56+L60</f>
        <v>0</v>
      </c>
      <c r="M54" s="121">
        <f t="shared" si="20"/>
        <v>0</v>
      </c>
      <c r="N54" s="121">
        <f t="shared" si="20"/>
        <v>0</v>
      </c>
      <c r="O54" s="120">
        <f t="shared" si="18"/>
        <v>0</v>
      </c>
      <c r="P54" s="120">
        <f t="shared" si="19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21">L57+L61</f>
        <v>8065800</v>
      </c>
      <c r="M55" s="121">
        <f t="shared" ca="1" si="21"/>
        <v>8105613.7699999996</v>
      </c>
      <c r="N55" s="121">
        <f t="shared" ca="1" si="21"/>
        <v>7213425.4900000002</v>
      </c>
      <c r="O55" s="120">
        <f t="shared" ca="1" si="18"/>
        <v>89.432238463636594</v>
      </c>
      <c r="P55" s="120">
        <f t="shared" ca="1" si="19"/>
        <v>88.992958395055638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49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8105613.7699999996</v>
      </c>
      <c r="N57" s="49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7213425.4900000002</v>
      </c>
      <c r="O57" s="38">
        <f ca="1">IF(L57&gt;0,N57*100/L57,0)</f>
        <v>89.432238463636594</v>
      </c>
      <c r="P57" s="38">
        <f ca="1">IF(M57&gt;0,N57*100/M57,0)</f>
        <v>88.992958395055638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49"/>
      <c r="N61" s="49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2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3">
        <f t="shared" ref="K64:K65" ca="1" si="22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2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3">
        <f t="shared" ca="1" si="22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10729200</v>
      </c>
      <c r="M66" s="152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10893950</v>
      </c>
      <c r="N66" s="152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9586561.4299999997</v>
      </c>
      <c r="O66" s="151">
        <f t="shared" ref="O66:O68" ca="1" si="23">IF(L66&gt;0,N66*100/L66,0)</f>
        <v>89.350197871229909</v>
      </c>
      <c r="P66" s="151">
        <f t="shared" ref="P66:P68" ca="1" si="24">IF(M66&gt;0,N66*100/M66,0)</f>
        <v>87.998948315349352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7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7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6">
        <f t="shared" si="23"/>
        <v>0</v>
      </c>
      <c r="P67" s="156">
        <f t="shared" si="24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10729200</v>
      </c>
      <c r="M68" s="157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10893950</v>
      </c>
      <c r="N68" s="157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9586561.4299999997</v>
      </c>
      <c r="O68" s="156">
        <f t="shared" ca="1" si="23"/>
        <v>89.350197871229909</v>
      </c>
      <c r="P68" s="156">
        <f t="shared" ca="1" si="24"/>
        <v>87.998948315349352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4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4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68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5432850</v>
      </c>
      <c r="N70" s="169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4125461.4299999997</v>
      </c>
      <c r="O70" s="169">
        <f ca="1">IF(L70&gt;0,N70*100/L70,0)</f>
        <v>78.310233860405077</v>
      </c>
      <c r="P70" s="169">
        <f ca="1">IF(M70&gt;0,N70*100/M70,0)</f>
        <v>75.935492973301308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5461100</v>
      </c>
      <c r="M74" s="49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5461100</v>
      </c>
      <c r="N74" s="49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1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2">
        <f t="shared" ref="K80:K88" ca="1" si="25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1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2">
        <f t="shared" ca="1" si="25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4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3">
        <f t="shared" ca="1" si="25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4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3">
        <f t="shared" ca="1" si="25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89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3">
        <f t="shared" ca="1" si="25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89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3">
        <f t="shared" ca="1" si="25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4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3">
        <f t="shared" ca="1" si="25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4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3">
        <f t="shared" ca="1" si="25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8</v>
      </c>
      <c r="J88" s="204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7</v>
      </c>
      <c r="K88" s="163">
        <f t="shared" ca="1" si="25"/>
        <v>87.5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2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29</v>
      </c>
      <c r="K92" s="143">
        <f t="shared" ref="K92:K93" ca="1" si="26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2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8</v>
      </c>
      <c r="K93" s="143">
        <f t="shared" ca="1" si="26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2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1493740</v>
      </c>
      <c r="N94" s="152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1212761.72</v>
      </c>
      <c r="O94" s="151">
        <f t="shared" ref="O94:O96" ca="1" si="27">IF(L94&gt;0,N94*100/L94,0)</f>
        <v>81.189612650126534</v>
      </c>
      <c r="P94" s="151">
        <f t="shared" ref="P94:P96" ca="1" si="28">IF(M94&gt;0,N94*100/M94,0)</f>
        <v>81.189612650126534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7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7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6">
        <f t="shared" si="27"/>
        <v>0</v>
      </c>
      <c r="P95" s="156">
        <f t="shared" si="28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7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1493740</v>
      </c>
      <c r="N96" s="157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1212761.72</v>
      </c>
      <c r="O96" s="156">
        <f t="shared" ca="1" si="27"/>
        <v>81.189612650126534</v>
      </c>
      <c r="P96" s="156">
        <f t="shared" ca="1" si="28"/>
        <v>81.189612650126534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4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4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68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754540</v>
      </c>
      <c r="N98" s="169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473561.72</v>
      </c>
      <c r="O98" s="169">
        <f ca="1">IF(L98&gt;0,N98*100/L98,0)</f>
        <v>62.76164550587113</v>
      </c>
      <c r="P98" s="169">
        <f ca="1">IF(M98&gt;0,N98*100/M98,0)</f>
        <v>62.76164550587113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49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49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4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6</v>
      </c>
      <c r="K108" s="225">
        <f t="shared" ref="K108:K113" ca="1" si="29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4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29</v>
      </c>
      <c r="K109" s="225">
        <f t="shared" ca="1" si="29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4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5">
        <f t="shared" ca="1" si="29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4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29</v>
      </c>
      <c r="K111" s="225">
        <f t="shared" ca="1" si="29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4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5">
        <f t="shared" ca="1" si="29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4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8</v>
      </c>
      <c r="K113" s="225">
        <f t="shared" ca="1" si="29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2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447675</v>
      </c>
      <c r="M118" s="152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447675</v>
      </c>
      <c r="N118" s="152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366372</v>
      </c>
      <c r="O118" s="151">
        <f t="shared" ref="O118:O120" ca="1" si="30">IF(L118&gt;0,N118*100/L118,0)</f>
        <v>81.838833975540297</v>
      </c>
      <c r="P118" s="151">
        <f t="shared" ref="P118:P120" ca="1" si="31">IF(M118&gt;0,N118*100/M118,0)</f>
        <v>81.838833975540297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7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7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6">
        <f t="shared" si="30"/>
        <v>0</v>
      </c>
      <c r="P119" s="156">
        <f t="shared" si="31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447675</v>
      </c>
      <c r="M120" s="157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447675</v>
      </c>
      <c r="N120" s="157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366372</v>
      </c>
      <c r="O120" s="156">
        <f t="shared" ca="1" si="30"/>
        <v>81.838833975540297</v>
      </c>
      <c r="P120" s="156">
        <f t="shared" ca="1" si="31"/>
        <v>81.838833975540297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4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4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447675</v>
      </c>
      <c r="M122" s="168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447675</v>
      </c>
      <c r="N122" s="169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366372</v>
      </c>
      <c r="O122" s="169">
        <f ca="1">IF(L122&gt;0,N122*100/L122,0)</f>
        <v>81.838833975540297</v>
      </c>
      <c r="P122" s="169">
        <f ca="1">IF(M122&gt;0,N122*100/M122,0)</f>
        <v>81.838833975540297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447675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49"/>
      <c r="N126" s="49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6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5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4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5">
        <f t="shared" ref="K132:K133" ca="1" si="32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4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5">
        <f t="shared" ca="1" si="32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3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2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8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7134525</v>
      </c>
      <c r="M140" s="152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7203915</v>
      </c>
      <c r="N140" s="152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5771243.3399999989</v>
      </c>
      <c r="O140" s="151">
        <f t="shared" ref="O140:O142" ca="1" si="33">IF(L140&gt;0,N140*100/L140,0)</f>
        <v>80.891767006212731</v>
      </c>
      <c r="P140" s="151">
        <f t="shared" ref="P140:P142" ca="1" si="34">IF(M140&gt;0,N140*100/M140,0)</f>
        <v>80.112596275775033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7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7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6">
        <f t="shared" si="33"/>
        <v>0</v>
      </c>
      <c r="P141" s="156">
        <f t="shared" si="34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7134525</v>
      </c>
      <c r="M142" s="157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7203915</v>
      </c>
      <c r="N142" s="157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5771243.3399999989</v>
      </c>
      <c r="O142" s="156">
        <f t="shared" ca="1" si="33"/>
        <v>80.891767006212731</v>
      </c>
      <c r="P142" s="156">
        <f t="shared" ca="1" si="34"/>
        <v>80.112596275775033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4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4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7134525</v>
      </c>
      <c r="M144" s="168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7203915</v>
      </c>
      <c r="N144" s="169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5771243.3399999989</v>
      </c>
      <c r="O144" s="169">
        <f ca="1">IF(L144&gt;0,N144*100/L144,0)</f>
        <v>80.891767006212731</v>
      </c>
      <c r="P144" s="169">
        <f ca="1">IF(M144&gt;0,N144*100/M144,0)</f>
        <v>80.112596275775033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3543925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49"/>
      <c r="N148" s="49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6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60</v>
      </c>
      <c r="K149" s="277">
        <f ca="1">IF(I149&gt;0,J149*100/I149,0)</f>
        <v>71.428571428571431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20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22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20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89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60</v>
      </c>
      <c r="K158" s="163">
        <f ca="1">IF(I158&gt;0,J158*100/I158,0)</f>
        <v>71.428571428571431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2127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2126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5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50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17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18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18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89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50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4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5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5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4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17</v>
      </c>
      <c r="K185" s="225">
        <f t="shared" ref="K185:K186" ca="1" si="35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4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5">
        <f t="shared" ca="1" si="35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5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213201</v>
      </c>
      <c r="K189" s="286">
        <f ca="1">IF(I189&gt;0,J189*100/I189,0)</f>
        <v>47.272949002217295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3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18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15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14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89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263202</v>
      </c>
      <c r="K199" s="163">
        <f t="shared" ref="K199:K201" ca="1" si="36">IF(I199&gt;0,J199*100/I199,0)</f>
        <v>58.359645232815964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89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213201</v>
      </c>
      <c r="K200" s="163">
        <f t="shared" ca="1" si="36"/>
        <v>47.272949002217295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89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3">
        <f t="shared" ca="1" si="36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4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4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5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11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4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88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4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120</v>
      </c>
      <c r="K215" s="225">
        <f t="shared" ref="K215:K216" ca="1" si="37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4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6</v>
      </c>
      <c r="K216" s="225">
        <f t="shared" ca="1" si="37"/>
        <v>60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8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257</v>
      </c>
      <c r="K219" s="269">
        <f ca="1">IF(I219&gt;0,J219*100/I219,0)</f>
        <v>100.390625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2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2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367440</v>
      </c>
      <c r="O220" s="151">
        <f t="shared" ref="O220:O222" ca="1" si="38">IF(L220&gt;0,N220*100/L220,0)</f>
        <v>100</v>
      </c>
      <c r="P220" s="151">
        <f t="shared" ref="P220:P222" ca="1" si="39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7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7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6">
        <f t="shared" si="38"/>
        <v>0</v>
      </c>
      <c r="P221" s="156">
        <f t="shared" si="39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7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7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367440</v>
      </c>
      <c r="O222" s="156">
        <f t="shared" ca="1" si="38"/>
        <v>100</v>
      </c>
      <c r="P222" s="156">
        <f t="shared" ca="1" si="39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4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4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68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69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367440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49"/>
      <c r="N228" s="49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8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12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12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89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6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10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8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1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88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1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1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2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1135900</v>
      </c>
      <c r="N250" s="152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914051.1</v>
      </c>
      <c r="O250" s="151">
        <f t="shared" ref="O250:O252" ca="1" si="40">IF(L250&gt;0,N250*100/L250,0)</f>
        <v>80.469328285940662</v>
      </c>
      <c r="P250" s="151">
        <f t="shared" ref="P250:P252" ca="1" si="41">IF(M250&gt;0,N250*100/M250,0)</f>
        <v>80.469328285940662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7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7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6">
        <f t="shared" si="40"/>
        <v>0</v>
      </c>
      <c r="P251" s="156">
        <f t="shared" si="41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7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1135900</v>
      </c>
      <c r="N252" s="157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914051.1</v>
      </c>
      <c r="O252" s="156">
        <f t="shared" ca="1" si="40"/>
        <v>80.469328285940662</v>
      </c>
      <c r="P252" s="156">
        <f t="shared" ca="1" si="41"/>
        <v>80.469328285940662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4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4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68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1135900</v>
      </c>
      <c r="N254" s="169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914051.1</v>
      </c>
      <c r="O254" s="169">
        <f ca="1">IF(L254&gt;0,N254*100/L254,0)</f>
        <v>80.469328285940662</v>
      </c>
      <c r="P254" s="169">
        <f ca="1">IF(M254&gt;0,N254*100/M254,0)</f>
        <v>80.469328285940662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49"/>
      <c r="N258" s="49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9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89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3">
        <f t="shared" ref="K264:K267" ca="1" si="4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89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3">
        <f t="shared" ca="1" si="4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89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130</v>
      </c>
      <c r="K266" s="163">
        <f t="shared" ca="1" si="42"/>
        <v>66.666666666666671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89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8</v>
      </c>
      <c r="K267" s="163">
        <f t="shared" ca="1" si="42"/>
        <v>88.888888888888886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2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2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1266900</v>
      </c>
      <c r="N271" s="152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936117.25999999989</v>
      </c>
      <c r="O271" s="151">
        <f t="shared" ref="O271:O273" ca="1" si="43">IF(L271&gt;0,N271*100/L271,0)</f>
        <v>73.890382824216573</v>
      </c>
      <c r="P271" s="151">
        <f t="shared" ref="P271:P273" ca="1" si="44">IF(M271&gt;0,N271*100/M271,0)</f>
        <v>73.890382824216573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7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7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6">
        <f t="shared" si="43"/>
        <v>0</v>
      </c>
      <c r="P272" s="156">
        <f t="shared" si="44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7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1266900</v>
      </c>
      <c r="N273" s="157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936117.25999999989</v>
      </c>
      <c r="O273" s="156">
        <f t="shared" ca="1" si="43"/>
        <v>73.890382824216573</v>
      </c>
      <c r="P273" s="156">
        <f t="shared" ca="1" si="44"/>
        <v>73.890382824216573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4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4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68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1266900</v>
      </c>
      <c r="N275" s="169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936117.25999999989</v>
      </c>
      <c r="O275" s="169">
        <f ca="1">IF(L275&gt;0,N275*100/L275,0)</f>
        <v>73.890382824216573</v>
      </c>
      <c r="P275" s="169">
        <f ca="1">IF(M275&gt;0,N275*100/M275,0)</f>
        <v>73.890382824216573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49"/>
      <c r="N279" s="49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13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13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89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2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2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2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429900</v>
      </c>
      <c r="O290" s="151">
        <f t="shared" ref="O290:O292" ca="1" si="45">IF(L290&gt;0,N290*100/L290,0)</f>
        <v>98.191037412635325</v>
      </c>
      <c r="P290" s="151">
        <f t="shared" ref="P290:P292" ca="1" si="46">IF(M290&gt;0,N290*100/M290,0)</f>
        <v>98.191037412635325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7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7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6">
        <f t="shared" si="45"/>
        <v>0</v>
      </c>
      <c r="P291" s="156">
        <f t="shared" si="46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7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7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429900</v>
      </c>
      <c r="O292" s="156">
        <f t="shared" ca="1" si="45"/>
        <v>98.191037412635325</v>
      </c>
      <c r="P292" s="156">
        <f t="shared" ca="1" si="46"/>
        <v>98.191037412635325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4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4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68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69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307400</v>
      </c>
      <c r="O294" s="169">
        <f ca="1">IF(L294&gt;0,N294*100/L294,0)</f>
        <v>97.488265888621086</v>
      </c>
      <c r="P294" s="169">
        <f ca="1">IF(M294&gt;0,N294*100/M294,0)</f>
        <v>97.488265888621086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49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49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4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4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100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15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2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1019800</v>
      </c>
      <c r="N310" s="152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633367</v>
      </c>
      <c r="O310" s="151">
        <f t="shared" ref="O310:O312" ca="1" si="47">IF(L310&gt;0,N310*100/L310,0)</f>
        <v>62.106981761129632</v>
      </c>
      <c r="P310" s="151">
        <f t="shared" ref="P310:P312" ca="1" si="48">IF(M310&gt;0,N310*100/M310,0)</f>
        <v>62.106981761129632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7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7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6">
        <f t="shared" si="47"/>
        <v>0</v>
      </c>
      <c r="P311" s="156">
        <f t="shared" si="48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7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1019800</v>
      </c>
      <c r="N312" s="157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633367</v>
      </c>
      <c r="O312" s="156">
        <f t="shared" ca="1" si="47"/>
        <v>62.106981761129632</v>
      </c>
      <c r="P312" s="156">
        <f t="shared" ca="1" si="48"/>
        <v>62.106981761129632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4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4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68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1019800</v>
      </c>
      <c r="N314" s="169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633367</v>
      </c>
      <c r="O314" s="169">
        <f ca="1">IF(L314&gt;0,N314*100/L314,0)</f>
        <v>62.106981761129632</v>
      </c>
      <c r="P314" s="169">
        <f ca="1">IF(M314&gt;0,N314*100/M314,0)</f>
        <v>62.106981761129632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49"/>
      <c r="N318" s="49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4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15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0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2714</v>
      </c>
      <c r="K328" s="318">
        <f ca="1">IF(I328&gt;0,J328*100/I328,0)</f>
        <v>79.847013827596356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17687110</v>
      </c>
      <c r="M329" s="152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18612145</v>
      </c>
      <c r="N329" s="152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14144358.359999999</v>
      </c>
      <c r="O329" s="151">
        <f t="shared" ref="O329:O331" ca="1" si="49">IF(L329&gt;0,N329*100/L329,0)</f>
        <v>79.969867095302732</v>
      </c>
      <c r="P329" s="151">
        <f t="shared" ref="P329:P331" ca="1" si="50">IF(M329&gt;0,N329*100/M329,0)</f>
        <v>75.995315746787924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7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7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6">
        <f t="shared" si="49"/>
        <v>0</v>
      </c>
      <c r="P330" s="156">
        <f t="shared" si="5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17687110</v>
      </c>
      <c r="M331" s="157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18612145</v>
      </c>
      <c r="N331" s="157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14144358.359999999</v>
      </c>
      <c r="O331" s="156">
        <f t="shared" ca="1" si="49"/>
        <v>79.969867095302732</v>
      </c>
      <c r="P331" s="156">
        <f t="shared" ca="1" si="50"/>
        <v>75.995315746787924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4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4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16461610</v>
      </c>
      <c r="M333" s="168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17386645</v>
      </c>
      <c r="N333" s="169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12936308.359999999</v>
      </c>
      <c r="O333" s="169">
        <f ca="1">IF(L333&gt;0,N333*100/L333,0)</f>
        <v>78.584709272057836</v>
      </c>
      <c r="P333" s="169">
        <f ca="1">IF(M333&gt;0,N333*100/M333,0)</f>
        <v>74.403706753085487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6821310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1225500</v>
      </c>
      <c r="M337" s="49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1225500</v>
      </c>
      <c r="N337" s="49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49">
        <f ca="1">IF(L337&gt;0,N337*100/L337,0)</f>
        <v>98.576091391268875</v>
      </c>
      <c r="P337" s="49">
        <f ca="1">IF(M337&gt;0,N337*100/M337,0)</f>
        <v>98.576091391268875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88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2796</v>
      </c>
      <c r="K339" s="343">
        <f t="shared" ref="K339:K346" ca="1" si="51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34650</v>
      </c>
      <c r="J340" s="188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29891.709999999992</v>
      </c>
      <c r="K340" s="343">
        <f t="shared" ca="1" si="51"/>
        <v>86.267561327561296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88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3262</v>
      </c>
      <c r="K341" s="343">
        <f t="shared" ca="1" si="51"/>
        <v>95.969402765519277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88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43064.939999999973</v>
      </c>
      <c r="K342" s="343">
        <f t="shared" ca="1" si="51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88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70</v>
      </c>
      <c r="K343" s="343">
        <f t="shared" ca="1" si="51"/>
        <v>2.0594292438952633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88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950.71</v>
      </c>
      <c r="K344" s="343">
        <f t="shared" ca="1" si="51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88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2714</v>
      </c>
      <c r="K345" s="343">
        <f t="shared" ca="1" si="51"/>
        <v>79.847013827596356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88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36837.429999999986</v>
      </c>
      <c r="K346" s="351">
        <f t="shared" ca="1" si="51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27930619</v>
      </c>
      <c r="M347" s="358"/>
      <c r="N347" s="358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16657059.859999988</v>
      </c>
      <c r="O347" s="358">
        <f ca="1">+IF(L347&gt;0,N347*100/L347,0)</f>
        <v>59.637274275947796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1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519</v>
      </c>
      <c r="K349" s="372">
        <f t="shared" ref="K349:K350" ca="1" si="52">IF(I349&gt;0,J349*100/I349,0)</f>
        <v>81.861198738170344</v>
      </c>
      <c r="L349" s="373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3"/>
      <c r="N349" s="373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1719097.97</v>
      </c>
      <c r="O349" s="373">
        <f ca="1">+IF(L349&gt;0,N349*100/L349,0)</f>
        <v>77.306608236574419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1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292</v>
      </c>
      <c r="K350" s="372">
        <f t="shared" ca="1" si="52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4"/>
      <c r="N351" s="164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5">
        <f t="shared" ref="O351:O354" ca="1" si="53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5"/>
      <c r="N352" s="164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1719097.97</v>
      </c>
      <c r="O352" s="165">
        <f t="shared" ca="1" si="53"/>
        <v>77.306608236574419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69"/>
      <c r="N353" s="169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69">
        <f t="shared" ca="1" si="53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69"/>
      <c r="N354" s="168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1719097.97</v>
      </c>
      <c r="O354" s="169">
        <f t="shared" ca="1" si="53"/>
        <v>77.306608236574419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377045.01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637500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544602.96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159950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12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1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1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1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1</v>
      </c>
      <c r="K367" s="163">
        <f t="shared" ref="K367:K373" ca="1" si="54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88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292</v>
      </c>
      <c r="K368" s="163">
        <f t="shared" ca="1" si="54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4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3">
        <f t="shared" ca="1" si="54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4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256</v>
      </c>
      <c r="K370" s="163">
        <f t="shared" ca="1" si="54"/>
        <v>87.671232876712324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89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3">
        <f t="shared" ca="1" si="54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89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237</v>
      </c>
      <c r="K372" s="163">
        <f t="shared" ca="1" si="54"/>
        <v>81.164383561643831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4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3">
        <f t="shared" ca="1" si="54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88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88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519</v>
      </c>
      <c r="K375" s="163">
        <f t="shared" ref="K375:K377" ca="1" si="55">IF(I375&gt;0,J375*100/I375,0)</f>
        <v>81.861198738170344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89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257</v>
      </c>
      <c r="K376" s="163">
        <f t="shared" ca="1" si="55"/>
        <v>83.713355048859938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4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262</v>
      </c>
      <c r="K377" s="163">
        <f t="shared" ca="1" si="55"/>
        <v>80.122324159021403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1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6100</v>
      </c>
      <c r="K380" s="372">
        <f t="shared" ref="K380:K381" ca="1" si="56">IF(I380&gt;0,J380*100/I380,0)</f>
        <v>69.318181818181813</v>
      </c>
      <c r="L380" s="373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3"/>
      <c r="N380" s="373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5322775.24</v>
      </c>
      <c r="O380" s="373">
        <f ca="1">+IF(L380&gt;0,N380*100/L380,0)</f>
        <v>59.324402607129485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1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2">
        <f t="shared" ca="1" si="56"/>
        <v>100.68181818181819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4"/>
      <c r="N382" s="164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5">
        <f t="shared" ref="O382:O385" ca="1" si="57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5"/>
      <c r="N383" s="165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5322775.24</v>
      </c>
      <c r="O383" s="165">
        <f t="shared" ca="1" si="57"/>
        <v>59.324402607129485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69"/>
      <c r="N384" s="169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69">
        <f t="shared" ca="1" si="57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69"/>
      <c r="N385" s="168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5322775.24</v>
      </c>
      <c r="O385" s="169">
        <f t="shared" ca="1" si="57"/>
        <v>59.324402607129485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1869715.5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2484491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549137.74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419431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17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8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3">
        <f t="shared" ref="K396:K398" ca="1" si="58">IF(I396&gt;0,J396*100/I396,0)</f>
        <v>100.68181818181819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8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6100</v>
      </c>
      <c r="K397" s="163">
        <f t="shared" ca="1" si="58"/>
        <v>69.318181818181813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8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640</v>
      </c>
      <c r="K398" s="163">
        <f t="shared" ca="1" si="58"/>
        <v>72.727272727272734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1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3015</v>
      </c>
      <c r="K401" s="372">
        <f t="shared" ref="K401:K402" ca="1" si="59">IF(I401&gt;0,J401*100/I401,0)</f>
        <v>100</v>
      </c>
      <c r="L401" s="373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3"/>
      <c r="N401" s="373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2668461.4800000004</v>
      </c>
      <c r="O401" s="373">
        <f ca="1">+IF(L401&gt;0,N401*100/L401,0)</f>
        <v>78.651874732886313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1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1005</v>
      </c>
      <c r="K402" s="372">
        <f t="shared" ca="1" si="59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4"/>
      <c r="N403" s="169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69">
        <f t="shared" ref="O403:O406" ca="1" si="60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5"/>
      <c r="N404" s="169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2668461.4800000004</v>
      </c>
      <c r="O404" s="169">
        <f t="shared" ca="1" si="60"/>
        <v>78.651874732886313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69"/>
      <c r="N405" s="169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69">
        <f t="shared" ca="1" si="60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69"/>
      <c r="N406" s="169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2668461.4800000004</v>
      </c>
      <c r="O406" s="169">
        <f t="shared" ca="1" si="60"/>
        <v>78.651874732886313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1782326.92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548600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337534.56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21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1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1005</v>
      </c>
      <c r="K416" s="202">
        <f t="shared" ref="K416:K432" ca="1" si="61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2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238</v>
      </c>
      <c r="K417" s="202">
        <f t="shared" ca="1" si="61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3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714</v>
      </c>
      <c r="K418" s="202">
        <f t="shared" ca="1" si="61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238</v>
      </c>
      <c r="K419" s="163">
        <f t="shared" ca="1" si="61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89">
        <f t="shared" ca="1" si="61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2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531</v>
      </c>
      <c r="K421" s="202">
        <f t="shared" ca="1" si="61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3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1593</v>
      </c>
      <c r="K422" s="202">
        <f t="shared" ca="1" si="61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3">
        <f t="shared" ca="1" si="61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531</v>
      </c>
      <c r="K424" s="163">
        <f t="shared" ca="1" si="61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531</v>
      </c>
      <c r="K425" s="163">
        <f t="shared" ca="1" si="61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2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236</v>
      </c>
      <c r="K426" s="202">
        <f t="shared" ca="1" si="61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3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708</v>
      </c>
      <c r="K427" s="202">
        <f t="shared" ca="1" si="61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236</v>
      </c>
      <c r="K428" s="163">
        <f t="shared" ca="1" si="61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236</v>
      </c>
      <c r="K429" s="163">
        <f t="shared" ca="1" si="61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2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506</v>
      </c>
      <c r="K430" s="202">
        <f t="shared" ca="1" si="61"/>
        <v>65.799739921976595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165</v>
      </c>
      <c r="K431" s="163">
        <f t="shared" ca="1" si="61"/>
        <v>69.327731092436977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341</v>
      </c>
      <c r="K432" s="163">
        <f t="shared" ca="1" si="61"/>
        <v>64.218455743879474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2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0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1">
        <f ca="1">IF(I435&gt;0,J435*100/I435,0)</f>
        <v>100</v>
      </c>
      <c r="L435" s="412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2334100</v>
      </c>
      <c r="M435" s="412"/>
      <c r="N435" s="412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1774884.3599999999</v>
      </c>
      <c r="O435" s="412">
        <f t="shared" ref="O435:O439" ca="1" si="62">+IF(L435&gt;0,N435*100/L435,0)</f>
        <v>76.041487511246302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4"/>
      <c r="N436" s="169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69">
        <f t="shared" ca="1" si="62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2334100</v>
      </c>
      <c r="M437" s="165"/>
      <c r="N437" s="169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1774884.3599999999</v>
      </c>
      <c r="O437" s="169">
        <f t="shared" ca="1" si="62"/>
        <v>76.041487511246302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69"/>
      <c r="N438" s="169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69">
        <f t="shared" ca="1" si="62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2334100</v>
      </c>
      <c r="M439" s="169"/>
      <c r="N439" s="169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1774884.3599999999</v>
      </c>
      <c r="O439" s="169">
        <f t="shared" ca="1" si="62"/>
        <v>76.041487511246302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1154569.29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620315.07000000007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20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1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3">
        <f t="shared" ref="K449:K452" ca="1" si="63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89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3">
        <f t="shared" ca="1" si="63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88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3">
        <f t="shared" ca="1" si="63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88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3">
        <f t="shared" ca="1" si="63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2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1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229366.9382</v>
      </c>
      <c r="K455" s="372">
        <f ca="1">IF(I455&gt;0,J455*100/I455,0)</f>
        <v>41.233393832076437</v>
      </c>
      <c r="L455" s="373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5606664</v>
      </c>
      <c r="M455" s="373"/>
      <c r="N455" s="373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1920282.5099999998</v>
      </c>
      <c r="O455" s="373">
        <f t="shared" ref="O455:O459" ca="1" si="64">+IF(L455&gt;0,N455*100/L455,0)</f>
        <v>34.250001605232626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4"/>
      <c r="N456" s="169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69">
        <f t="shared" ca="1" si="64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5606664</v>
      </c>
      <c r="M457" s="165"/>
      <c r="N457" s="169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1920282.5099999998</v>
      </c>
      <c r="O457" s="169">
        <f t="shared" ca="1" si="64"/>
        <v>34.250001605232626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69"/>
      <c r="N458" s="169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69">
        <f t="shared" ca="1" si="64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5606664</v>
      </c>
      <c r="M459" s="169"/>
      <c r="N459" s="169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1920282.5099999998</v>
      </c>
      <c r="O459" s="169">
        <f t="shared" ca="1" si="64"/>
        <v>34.250001605232626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394948.51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1525334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8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229366.9382</v>
      </c>
      <c r="K464" s="269">
        <f t="shared" ref="K464:K515" ca="1" si="65">IF(I464&gt;0,J464*100/I464,0)</f>
        <v>41.233393832076437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556452.41867999989</v>
      </c>
      <c r="K465" s="202">
        <f t="shared" ca="1" si="65"/>
        <v>100.03369233728526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45666</v>
      </c>
      <c r="K466" s="202">
        <f t="shared" ca="1" si="65"/>
        <v>100.06573757559821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89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429142.50280000002</v>
      </c>
      <c r="K467" s="163">
        <f t="shared" ca="1" si="65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89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36881</v>
      </c>
      <c r="K468" s="163">
        <f t="shared" ca="1" si="65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89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109117.47068</v>
      </c>
      <c r="K469" s="163">
        <f t="shared" ca="1" si="65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89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7369</v>
      </c>
      <c r="K470" s="163">
        <f t="shared" ca="1" si="65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89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18192.445200000002</v>
      </c>
      <c r="K471" s="163">
        <f t="shared" ca="1" si="65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89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1416</v>
      </c>
      <c r="K472" s="163">
        <f t="shared" ca="1" si="65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556453.07819999987</v>
      </c>
      <c r="K473" s="202">
        <f t="shared" ca="1" si="65"/>
        <v>100.03381089948134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45666</v>
      </c>
      <c r="K474" s="202">
        <f t="shared" ca="1" si="65"/>
        <v>100.06573757559821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89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434838.11290000001</v>
      </c>
      <c r="K475" s="163">
        <f t="shared" ca="1" si="65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89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37633</v>
      </c>
      <c r="K476" s="163">
        <f t="shared" ca="1" si="65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89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103659.7901</v>
      </c>
      <c r="K477" s="163">
        <f t="shared" ca="1" si="65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89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6605</v>
      </c>
      <c r="K478" s="163">
        <f t="shared" ca="1" si="65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89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17955.175199999998</v>
      </c>
      <c r="K479" s="163">
        <f t="shared" ca="1" si="65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89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1438</v>
      </c>
      <c r="K480" s="163">
        <f t="shared" ca="1" si="65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229366.9382</v>
      </c>
      <c r="K481" s="202">
        <f t="shared" ca="1" si="65"/>
        <v>41.233393832076437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22809</v>
      </c>
      <c r="K482" s="202">
        <f t="shared" ca="1" si="65"/>
        <v>49.980278727320538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89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204216.0454</v>
      </c>
      <c r="K483" s="163">
        <f t="shared" ca="1" si="65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89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20669</v>
      </c>
      <c r="K484" s="163">
        <f t="shared" ca="1" si="65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89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16744.1901</v>
      </c>
      <c r="K485" s="163">
        <f t="shared" ca="1" si="65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89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1356</v>
      </c>
      <c r="K486" s="163">
        <f t="shared" ca="1" si="65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8216.7026999999998</v>
      </c>
      <c r="K487" s="163">
        <f t="shared" ca="1" si="65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749</v>
      </c>
      <c r="K488" s="163">
        <f t="shared" ca="1" si="65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89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7727.7026999999998</v>
      </c>
      <c r="K489" s="163">
        <f t="shared" ca="1" si="65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89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733</v>
      </c>
      <c r="K490" s="163">
        <f t="shared" ca="1" si="65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89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489</v>
      </c>
      <c r="K491" s="163">
        <f t="shared" ca="1" si="65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89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16</v>
      </c>
      <c r="K492" s="163">
        <f t="shared" ca="1" si="65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89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189</v>
      </c>
      <c r="K493" s="163">
        <f t="shared" ca="1" si="65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21</v>
      </c>
      <c r="K494" s="289">
        <f t="shared" ca="1" si="65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1</v>
      </c>
      <c r="K495" s="163">
        <f t="shared" ca="1" si="65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14</v>
      </c>
      <c r="K496" s="289">
        <f t="shared" ca="1" si="65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12020.255000000001</v>
      </c>
      <c r="K497" s="444">
        <f t="shared" ca="1" si="65"/>
        <v>20.504682542390228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12020.255000000001</v>
      </c>
      <c r="K498" s="202">
        <f t="shared" ca="1" si="65"/>
        <v>20.504682542390228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890</v>
      </c>
      <c r="K499" s="202">
        <f t="shared" ca="1" si="65"/>
        <v>23.526301876817342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2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11014</v>
      </c>
      <c r="K500" s="163">
        <f t="shared" ca="1" si="65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2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757</v>
      </c>
      <c r="K501" s="163">
        <f t="shared" ca="1" si="65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89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10905</v>
      </c>
      <c r="K502" s="163">
        <f t="shared" ca="1" si="65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8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713</v>
      </c>
      <c r="K503" s="163">
        <f t="shared" ca="1" si="65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89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109</v>
      </c>
      <c r="K504" s="163">
        <f t="shared" ca="1" si="65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8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44</v>
      </c>
      <c r="K505" s="163">
        <f t="shared" ca="1" si="65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89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3">
        <f t="shared" ca="1" si="65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8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3">
        <f t="shared" ca="1" si="65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2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501.255</v>
      </c>
      <c r="K508" s="163">
        <f t="shared" ca="1" si="65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2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29</v>
      </c>
      <c r="K509" s="163">
        <f t="shared" ca="1" si="65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8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480.255</v>
      </c>
      <c r="K510" s="163">
        <f t="shared" ca="1" si="65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8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27</v>
      </c>
      <c r="K511" s="163">
        <f t="shared" ca="1" si="65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8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21</v>
      </c>
      <c r="K512" s="163">
        <f t="shared" ca="1" si="65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8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2</v>
      </c>
      <c r="K513" s="163">
        <f t="shared" ca="1" si="65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8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505</v>
      </c>
      <c r="K514" s="163">
        <f t="shared" ca="1" si="65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8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104</v>
      </c>
      <c r="K515" s="163">
        <f t="shared" ca="1" si="65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8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5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5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88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88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88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88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88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8695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88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278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8695</v>
      </c>
      <c r="J525" s="285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6071.41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278</v>
      </c>
      <c r="J526" s="285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191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8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5907.76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8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178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8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163.65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8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8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6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0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1">
        <f ca="1">IF(I533&gt;0,J533*100/I533,0)</f>
        <v>99.319727891156461</v>
      </c>
      <c r="L533" s="412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2"/>
      <c r="N533" s="412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559964.99</v>
      </c>
      <c r="O533" s="412">
        <f t="shared" ref="O533:O537" ca="1" si="66">+IF(L533&gt;0,N533*100/L533,0)</f>
        <v>79.620780901192958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4"/>
      <c r="N534" s="169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69">
        <f t="shared" ca="1" si="66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5"/>
      <c r="N535" s="169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559964.99</v>
      </c>
      <c r="O535" s="169">
        <f t="shared" ca="1" si="66"/>
        <v>79.620780901192958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69"/>
      <c r="N536" s="169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69">
        <f t="shared" ca="1" si="66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69"/>
      <c r="N537" s="169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559964.99</v>
      </c>
      <c r="O537" s="169">
        <f t="shared" ca="1" si="66"/>
        <v>79.620780901192958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368201.02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191763.97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89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3">
        <f t="shared" ref="K547:K548" ca="1" si="67">IF(I547&gt;0,J547*100/I547,0)</f>
        <v>99.319727891156461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1</v>
      </c>
      <c r="K548" s="163">
        <f t="shared" ca="1" si="67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6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5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0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520</v>
      </c>
      <c r="K551" s="411">
        <f ca="1">IF(I551&gt;0,J551*100/I551,0)</f>
        <v>17.333333333333332</v>
      </c>
      <c r="L551" s="412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2"/>
      <c r="N551" s="412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70365</v>
      </c>
      <c r="O551" s="412">
        <f t="shared" ref="O551:O555" ca="1" si="68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4"/>
      <c r="N552" s="169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69">
        <f t="shared" ca="1" si="68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5"/>
      <c r="N553" s="169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70365</v>
      </c>
      <c r="O553" s="169">
        <f t="shared" ca="1" si="68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69"/>
      <c r="N554" s="169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69">
        <f t="shared" ca="1" si="68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69"/>
      <c r="N555" s="169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70365</v>
      </c>
      <c r="O555" s="169">
        <f t="shared" ca="1" si="68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2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520</v>
      </c>
      <c r="K560" s="225">
        <f t="shared" ref="K560:K561" ca="1" si="69">IF(I560&gt;0,J560*100/I560,0)</f>
        <v>17.333333333333332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4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19</v>
      </c>
      <c r="K561" s="225">
        <f t="shared" ca="1" si="69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1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51075</v>
      </c>
      <c r="K564" s="372">
        <f ca="1">IF(I564&gt;0,J564*100/I564,0)</f>
        <v>324.4917407878018</v>
      </c>
      <c r="L564" s="373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3"/>
      <c r="N564" s="373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1838695.18</v>
      </c>
      <c r="O564" s="373">
        <f t="shared" ref="O564:O568" ca="1" si="70">+IF(L564&gt;0,N564*100/L564,0)</f>
        <v>69.096863632264075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4"/>
      <c r="N565" s="169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69">
        <f t="shared" ca="1" si="70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5"/>
      <c r="N566" s="169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1838695.18</v>
      </c>
      <c r="O566" s="169">
        <f t="shared" ca="1" si="70"/>
        <v>69.096863632264075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69"/>
      <c r="N567" s="169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69">
        <f t="shared" ca="1" si="70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69"/>
      <c r="N568" s="169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1838695.18</v>
      </c>
      <c r="O568" s="169">
        <f t="shared" ca="1" si="70"/>
        <v>69.096863632264075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1407263.9399999997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431431.24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51075</v>
      </c>
      <c r="K573" s="202">
        <f ca="1">IF(I573&gt;0,J573*100/I573,0)</f>
        <v>324.4917407878018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8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109</v>
      </c>
      <c r="K575" s="163">
        <f t="shared" ref="K575:K579" ca="1" si="71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8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3995</v>
      </c>
      <c r="K576" s="163">
        <f t="shared" ca="1" si="71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89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47040</v>
      </c>
      <c r="K577" s="163">
        <f t="shared" ca="1" si="71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8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27</v>
      </c>
      <c r="K578" s="163">
        <f t="shared" ca="1" si="71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8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13</v>
      </c>
      <c r="K579" s="163">
        <f t="shared" ca="1" si="71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745</v>
      </c>
      <c r="J580" s="371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134</v>
      </c>
      <c r="K580" s="372">
        <f ca="1">IF(I580&gt;0,J580*100/I580,0)</f>
        <v>17.986577181208055</v>
      </c>
      <c r="L580" s="373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1689755</v>
      </c>
      <c r="M580" s="373"/>
      <c r="N580" s="373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725304.929999999</v>
      </c>
      <c r="O580" s="373">
        <f t="shared" ref="O580:O584" ca="1" si="72">+IF(L580&gt;0,N580*100/L580,0)</f>
        <v>42.923674142109299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4"/>
      <c r="N581" s="169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69">
        <f t="shared" ca="1" si="72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1689755</v>
      </c>
      <c r="M582" s="165"/>
      <c r="N582" s="169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725304.929999999</v>
      </c>
      <c r="O582" s="169">
        <f t="shared" ca="1" si="72"/>
        <v>42.923674142109299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69"/>
      <c r="N583" s="169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69">
        <f t="shared" ca="1" si="72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1689755</v>
      </c>
      <c r="M584" s="169"/>
      <c r="N584" s="169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725304.929999999</v>
      </c>
      <c r="O584" s="169">
        <f t="shared" ca="1" si="72"/>
        <v>42.923674142109299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312147.25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413157.68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745</v>
      </c>
      <c r="J589" s="188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865</v>
      </c>
      <c r="K589" s="163">
        <f t="shared" ref="K589:K596" ca="1" si="73">IF(I589&gt;0,J589*100/I589,0)</f>
        <v>116.10738255033557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88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630.68000000000006</v>
      </c>
      <c r="K590" s="480">
        <f t="shared" ca="1" si="73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745</v>
      </c>
      <c r="J591" s="188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448</v>
      </c>
      <c r="K591" s="163">
        <f t="shared" ca="1" si="73"/>
        <v>60.134228187919462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88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298.14999999999998</v>
      </c>
      <c r="K592" s="343">
        <f t="shared" ca="1" si="73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745</v>
      </c>
      <c r="J593" s="188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187</v>
      </c>
      <c r="K593" s="163">
        <f t="shared" ca="1" si="73"/>
        <v>25.100671140939596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88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125.87</v>
      </c>
      <c r="K594" s="343">
        <f t="shared" ca="1" si="73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745</v>
      </c>
      <c r="J595" s="188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134</v>
      </c>
      <c r="K595" s="163">
        <f t="shared" ca="1" si="73"/>
        <v>17.986577181208055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2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80.969999999999985</v>
      </c>
      <c r="K596" s="487">
        <f t="shared" ca="1" si="7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8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675</v>
      </c>
      <c r="K597" s="411">
        <f ca="1">IF(I597&gt;0,J597*100/I597,0)</f>
        <v>41.360294117647058</v>
      </c>
      <c r="L597" s="412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2"/>
      <c r="N597" s="412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57228.2</v>
      </c>
      <c r="O597" s="412">
        <f t="shared" ref="O597:O601" ca="1" si="74">+IF(L597&gt;0,N597*100/L597,0)</f>
        <v>38.418501611170782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4"/>
      <c r="N598" s="169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69">
        <f t="shared" ca="1" si="74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5"/>
      <c r="N599" s="169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57228.2</v>
      </c>
      <c r="O599" s="169">
        <f t="shared" ca="1" si="74"/>
        <v>38.418501611170782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69"/>
      <c r="N600" s="169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69">
        <f t="shared" ca="1" si="74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69"/>
      <c r="N601" s="169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57228.2</v>
      </c>
      <c r="O601" s="169">
        <f t="shared" ca="1" si="74"/>
        <v>38.418501611170782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52428.2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1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1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2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675</v>
      </c>
      <c r="K611" s="163">
        <f t="shared" ref="K611:K619" ca="1" si="75">IF(I$611&gt;0,J611*100/I$611,0)</f>
        <v>41.360294117647058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8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2423.63</v>
      </c>
      <c r="K612" s="163">
        <f t="shared" ca="1" si="75"/>
        <v>148.50674019607843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8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2944.63</v>
      </c>
      <c r="K613" s="163">
        <f t="shared" ca="1" si="75"/>
        <v>180.43075980392157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8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1962</v>
      </c>
      <c r="K614" s="163">
        <f t="shared" ca="1" si="75"/>
        <v>120.22058823529412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8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1756</v>
      </c>
      <c r="K615" s="163">
        <f t="shared" ca="1" si="75"/>
        <v>107.59803921568627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8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1242</v>
      </c>
      <c r="K616" s="163">
        <f t="shared" ca="1" si="75"/>
        <v>76.102941176470594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88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675</v>
      </c>
      <c r="K617" s="163">
        <f t="shared" ca="1" si="75"/>
        <v>41.360294117647058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89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3">
        <f t="shared" ca="1" si="75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89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675</v>
      </c>
      <c r="K619" s="163">
        <f t="shared" ca="1" si="75"/>
        <v>41.360294117647058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3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3">
        <f t="shared" ref="K620:K626" ca="1" si="76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3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3">
        <f t="shared" ca="1" si="76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89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3">
        <f t="shared" ca="1" si="76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89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3">
        <f t="shared" ca="1" si="76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88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3">
        <f t="shared" ca="1" si="76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89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3">
        <f t="shared" ca="1" si="76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89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3">
        <f t="shared" ca="1" si="76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95357688.090000004</v>
      </c>
      <c r="J628" s="342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76888909.179999992</v>
      </c>
      <c r="K628" s="343">
        <f t="shared" ref="K628:K635" ca="1" si="77">IF(I628&gt;0,J628*100/I628,0)</f>
        <v>80.632102896025643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3753</v>
      </c>
      <c r="J629" s="342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3071</v>
      </c>
      <c r="K629" s="343">
        <f t="shared" ca="1" si="77"/>
        <v>81.827871036504135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2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15747525.449999999</v>
      </c>
      <c r="K630" s="343">
        <f t="shared" ca="1" si="77"/>
        <v>13.526706148833505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2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1640</v>
      </c>
      <c r="K631" s="343">
        <f t="shared" ca="1" si="77"/>
        <v>47.207829591249279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2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17160342.140000001</v>
      </c>
      <c r="K632" s="343">
        <f t="shared" ca="1" si="77"/>
        <v>35.932577951698043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2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7803</v>
      </c>
      <c r="K633" s="343">
        <f t="shared" ca="1" si="77"/>
        <v>70.596218221297391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106300000</v>
      </c>
      <c r="J634" s="342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72345000</v>
      </c>
      <c r="K634" s="343">
        <f t="shared" ca="1" si="77"/>
        <v>68.057384760112882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3041</v>
      </c>
      <c r="J635" s="505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1995</v>
      </c>
      <c r="K635" s="487">
        <f t="shared" ca="1" si="77"/>
        <v>65.603419927655381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506225</v>
      </c>
      <c r="M636" s="512"/>
      <c r="N636" s="511">
        <f ca="1">SUM(N637:N638)</f>
        <v>62865</v>
      </c>
      <c r="O636" s="511">
        <f t="shared" ref="O636:O640" ca="1" si="78">+IF(L636&gt;0,N636*100/L636,0)</f>
        <v>12.418391031655885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78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506225</v>
      </c>
      <c r="M638" s="522"/>
      <c r="N638" s="523">
        <f ca="1">SUM(N639:N640)</f>
        <v>62865</v>
      </c>
      <c r="O638" s="523">
        <f t="shared" ca="1" si="78"/>
        <v>12.418391031655885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78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506225</v>
      </c>
      <c r="M640" s="522"/>
      <c r="N640" s="523">
        <f ca="1">SUM(N641:N644)</f>
        <v>62865</v>
      </c>
      <c r="O640" s="523">
        <f t="shared" ca="1" si="78"/>
        <v>12.418391031655885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62865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2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7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8">
        <f t="shared" ref="K648:K651" ca="1" si="79">IF(I648&gt;0,J648*100/I648,0)</f>
        <v>0</v>
      </c>
      <c r="L648" s="523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2"/>
      <c r="N648" s="539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1480</v>
      </c>
      <c r="O648" s="538">
        <f t="shared" ref="O648:O651" ca="1" si="80">IF(L648&gt;0,N648*100/L648,0)</f>
        <v>2.002164502164502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7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8</v>
      </c>
      <c r="K649" s="538">
        <f t="shared" ca="1" si="79"/>
        <v>2.2922636103151861</v>
      </c>
      <c r="L649" s="523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2"/>
      <c r="N649" s="539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0</v>
      </c>
      <c r="O649" s="538">
        <f t="shared" ca="1" si="80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7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740.63</v>
      </c>
      <c r="K650" s="538">
        <f t="shared" ca="1" si="79"/>
        <v>35.48778150455199</v>
      </c>
      <c r="L650" s="523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2"/>
      <c r="N650" s="539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3490</v>
      </c>
      <c r="O650" s="538">
        <f t="shared" ca="1" si="80"/>
        <v>33.445136559655005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7">
        <f ca="1">J657+J660</f>
        <v>900</v>
      </c>
      <c r="K651" s="538">
        <f t="shared" ca="1" si="79"/>
        <v>48.335123523093451</v>
      </c>
      <c r="L651" s="523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2"/>
      <c r="N651" s="539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9660</v>
      </c>
      <c r="O651" s="538">
        <f t="shared" ca="1" si="80"/>
        <v>20.751879699248121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44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748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8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8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138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52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52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762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8"/>
      <c r="L661" s="523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2"/>
      <c r="N661" s="539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1330</v>
      </c>
      <c r="O661" s="538">
        <f ca="1">IF(L661&gt;0,N661*100/L661,0)</f>
        <v>1.1815920398009949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7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7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10</v>
      </c>
      <c r="K665" s="538">
        <f ca="1">IF(I665&gt;0,J665*100/I665,0)</f>
        <v>5.376344086021505</v>
      </c>
      <c r="L665" s="523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2"/>
      <c r="N665" s="539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5195</v>
      </c>
      <c r="O665" s="538">
        <f ca="1">IF(L665&gt;0,N665*100/L665,0)</f>
        <v>23.275089605734767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10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121.26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7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8">
        <f ca="1">IF(I668&gt;0,J668*100/I668,0)</f>
        <v>4.225352112676056</v>
      </c>
      <c r="L668" s="523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2"/>
      <c r="N668" s="539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19660</v>
      </c>
      <c r="O668" s="538">
        <f ca="1">IF(L668&gt;0,N668*100/L668,0)</f>
        <v>18.298585256887566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7">
        <f ca="1">J674+J677</f>
        <v>254</v>
      </c>
      <c r="K671" s="538">
        <f ca="1">IF(I671&gt;0,J671*100/I671,0)</f>
        <v>22.300263388937665</v>
      </c>
      <c r="L671" s="523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2"/>
      <c r="N671" s="539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22050</v>
      </c>
      <c r="O671" s="538">
        <f ca="1">IF(L671&gt;0,N671*100/L671,0)</f>
        <v>24.198858647936788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13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17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237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3292795</v>
      </c>
      <c r="M8" s="23">
        <f t="shared" ca="1" si="0"/>
        <v>2799413</v>
      </c>
      <c r="N8" s="23">
        <f t="shared" ca="1" si="0"/>
        <v>2770821.2299999995</v>
      </c>
      <c r="O8" s="22">
        <f t="shared" ref="O8:O16" ca="1" si="1">IF(L8&gt;0,N8*100/L8,0)</f>
        <v>84.148002836496033</v>
      </c>
      <c r="P8" s="22">
        <f t="shared" ref="P8:P16" ca="1" si="2">IF(M8&gt;0,N8*100/M8,0)</f>
        <v>98.978651238670366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3292795</v>
      </c>
      <c r="M10" s="30">
        <f t="shared" ca="1" si="4"/>
        <v>2799413</v>
      </c>
      <c r="N10" s="30">
        <f t="shared" ca="1" si="4"/>
        <v>2770821.2299999995</v>
      </c>
      <c r="O10" s="29">
        <f t="shared" ca="1" si="1"/>
        <v>84.148002836496033</v>
      </c>
      <c r="P10" s="29">
        <f t="shared" ca="1" si="2"/>
        <v>98.978651238670366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2942195</v>
      </c>
      <c r="M12" s="38">
        <f t="shared" ca="1" si="6"/>
        <v>2448813</v>
      </c>
      <c r="N12" s="38">
        <f t="shared" ca="1" si="6"/>
        <v>2420221.2299999995</v>
      </c>
      <c r="O12" s="38">
        <f t="shared" ca="1" si="1"/>
        <v>82.259035516000793</v>
      </c>
      <c r="P12" s="38">
        <f t="shared" ca="1" si="2"/>
        <v>98.832423300594996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1897800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1044395</v>
      </c>
      <c r="M14" s="38">
        <f t="shared" si="8"/>
        <v>0</v>
      </c>
      <c r="N14" s="38">
        <f t="shared" ca="1" si="8"/>
        <v>430233.03</v>
      </c>
      <c r="O14" s="38">
        <f t="shared" ca="1" si="1"/>
        <v>41.194474312879706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350600</v>
      </c>
      <c r="M16" s="38">
        <f t="shared" ca="1" si="10"/>
        <v>350600</v>
      </c>
      <c r="N16" s="38">
        <f t="shared" ca="1" si="10"/>
        <v>350600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2726905</v>
      </c>
      <c r="M18" s="23">
        <f t="shared" ca="1" si="11"/>
        <v>2799413</v>
      </c>
      <c r="N18" s="23">
        <f t="shared" ca="1" si="11"/>
        <v>2340588.1999999997</v>
      </c>
      <c r="O18" s="22">
        <f t="shared" ref="O18:O20" ca="1" si="12">IF(L18&gt;0,N18*100/L18,0)</f>
        <v>85.833140501777649</v>
      </c>
      <c r="P18" s="22">
        <f t="shared" ref="P18:P26" ca="1" si="13">IF(M18&gt;0,N18*100/M18,0)</f>
        <v>83.609963946012954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2726905</v>
      </c>
      <c r="M20" s="30">
        <f t="shared" ca="1" si="15"/>
        <v>2799413</v>
      </c>
      <c r="N20" s="30">
        <f t="shared" ca="1" si="15"/>
        <v>2340588.1999999997</v>
      </c>
      <c r="O20" s="29">
        <f t="shared" ca="1" si="12"/>
        <v>85.833140501777649</v>
      </c>
      <c r="P20" s="29">
        <f t="shared" ca="1" si="13"/>
        <v>83.609963946012954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2376305</v>
      </c>
      <c r="M22" s="41">
        <f t="shared" ca="1" si="18"/>
        <v>2448813</v>
      </c>
      <c r="N22" s="38">
        <f t="shared" ca="1" si="18"/>
        <v>1989988.1999999997</v>
      </c>
      <c r="O22" s="38">
        <f t="shared" ca="1" si="17"/>
        <v>83.742962288090112</v>
      </c>
      <c r="P22" s="38">
        <f t="shared" ca="1" si="13"/>
        <v>81.26337944138649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1897800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478505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350600</v>
      </c>
      <c r="M26" s="49">
        <f t="shared" ca="1" si="22"/>
        <v>350600</v>
      </c>
      <c r="N26" s="49">
        <f t="shared" ca="1" si="22"/>
        <v>350600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565890</v>
      </c>
      <c r="M28" s="23">
        <f t="shared" si="23"/>
        <v>0</v>
      </c>
      <c r="N28" s="23">
        <f t="shared" ca="1" si="23"/>
        <v>430233.03</v>
      </c>
      <c r="O28" s="22">
        <f t="shared" ref="O28:O30" ca="1" si="24">IF(L28&gt;0,N28*100/L28,0)</f>
        <v>76.027678524094782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565890</v>
      </c>
      <c r="M30" s="30">
        <f t="shared" si="27"/>
        <v>0</v>
      </c>
      <c r="N30" s="30">
        <f t="shared" ca="1" si="27"/>
        <v>430233.03</v>
      </c>
      <c r="O30" s="29">
        <f t="shared" ca="1" si="24"/>
        <v>76.027678524094782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565890</v>
      </c>
      <c r="M32" s="38">
        <f t="shared" si="30"/>
        <v>0</v>
      </c>
      <c r="N32" s="38">
        <f t="shared" ca="1" si="30"/>
        <v>430233.03</v>
      </c>
      <c r="O32" s="38">
        <f t="shared" ca="1" si="29"/>
        <v>76.027678524094782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565890</v>
      </c>
      <c r="M34" s="38">
        <f t="shared" si="32"/>
        <v>0</v>
      </c>
      <c r="N34" s="38">
        <f t="shared" ca="1" si="32"/>
        <v>430233.03</v>
      </c>
      <c r="O34" s="38">
        <f t="shared" ca="1" si="29"/>
        <v>76.027678524094782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2799413</v>
      </c>
      <c r="N37" s="54">
        <f t="shared" ca="1" si="33"/>
        <v>2340588.2000000002</v>
      </c>
      <c r="O37" s="55">
        <f t="shared" ca="1" si="29"/>
        <v>85.833140501777663</v>
      </c>
      <c r="P37" s="55">
        <f t="shared" ca="1" si="25"/>
        <v>83.609963946012982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1011300</v>
      </c>
      <c r="N41" s="78">
        <f t="shared" ca="1" si="34"/>
        <v>942286.1</v>
      </c>
      <c r="O41" s="77">
        <f t="shared" ref="O41:O43" ca="1" si="35">IF(L41&gt;0,N41*100/L41,0)</f>
        <v>93.175724315237815</v>
      </c>
      <c r="P41" s="77">
        <f t="shared" ref="P41:P43" ca="1" si="36">IF(M41&gt;0,N41*100/M41,0)</f>
        <v>93.175724315237815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1011300</v>
      </c>
      <c r="N43" s="78">
        <f t="shared" ca="1" si="38"/>
        <v>942286.1</v>
      </c>
      <c r="O43" s="77">
        <f t="shared" ca="1" si="35"/>
        <v>93.175724315237815</v>
      </c>
      <c r="P43" s="77">
        <f t="shared" ca="1" si="36"/>
        <v>93.175724315237815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660700</v>
      </c>
      <c r="M45" s="49">
        <f ca="1">IFERROR(__xludf.DUMMYFUNCTION("IMPORTRANGE(""https://docs.google.com/spreadsheets/d/1Yj_ptqi66GCucihVvJfMjLAmec39IyEx_6qawtMGysU/edit?usp=sharing"",""สบก!Q67"")"),660700)</f>
        <v>660700</v>
      </c>
      <c r="N45" s="49">
        <f ca="1">IFERROR(__xludf.DUMMYFUNCTION("IMPORTRANGE(""https://docs.google.com/spreadsheets/d/1Yj_ptqi66GCucihVvJfMjLAmec39IyEx_6qawtMGysU/edit?usp=sharing"",""สบก!R67"")"),591686.1)</f>
        <v>591686.1</v>
      </c>
      <c r="O45" s="38">
        <f ca="1">IF(L45&gt;0,N45*100/L45,0)</f>
        <v>89.554427122748606</v>
      </c>
      <c r="P45" s="38">
        <f ca="1">IF(M45&gt;0,N45*100/M45,0)</f>
        <v>89.554427122748606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IFERROR(__xludf.DUMMYFUNCTION("IMPORTRANGE(""https://docs.google.com/spreadsheets/d/1Yj_ptqi66GCucihVvJfMjLAmec39IyEx_6qawtMGysU/edit?usp=sharing"",""สบก!M67"")"),660700)</f>
        <v>660700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IFERROR(__xludf.DUMMYFUNCTION("IMPORTRANGE(""https://docs.google.com/spreadsheets/d/1Yj_ptqi66GCucihVvJfMjLAmec39IyEx_6qawtMGysU/edit?usp=sharing"",""สบก!O67"")"),350600)</f>
        <v>350600</v>
      </c>
      <c r="M49" s="49">
        <f ca="1">L49</f>
        <v>350600</v>
      </c>
      <c r="N49" s="49">
        <f ca="1">IFERROR(__xludf.DUMMYFUNCTION("IMPORTRANGE(""https://docs.google.com/spreadsheets/d/1Yj_ptqi66GCucihVvJfMjLAmec39IyEx_6qawtMGysU/edit?usp=sharing"",""สบก!S67"")"),350600)</f>
        <v>350600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421248</v>
      </c>
      <c r="N53" s="121">
        <f t="shared" ca="1" si="39"/>
        <v>421154.23</v>
      </c>
      <c r="O53" s="120">
        <f t="shared" ref="O53:O55" ca="1" si="40">IF(L53&gt;0,N53*100/L53,0)</f>
        <v>105.2885575</v>
      </c>
      <c r="P53" s="120">
        <f t="shared" ref="P53:P55" ca="1" si="41">IF(M53&gt;0,N53*100/M53,0)</f>
        <v>99.977739953661498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421248</v>
      </c>
      <c r="N55" s="121">
        <f t="shared" ca="1" si="43"/>
        <v>421154.23</v>
      </c>
      <c r="O55" s="120">
        <f t="shared" ca="1" si="40"/>
        <v>105.2885575</v>
      </c>
      <c r="P55" s="120">
        <f t="shared" ca="1" si="41"/>
        <v>99.977739953661498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IFERROR(__xludf.DUMMYFUNCTION("IMPORTRANGE(""https://docs.google.com/spreadsheets/d/1Yj_ptqi66GCucihVvJfMjLAmec39IyEx_6qawtMGysU/edit?usp=sharing"",""สบก!Z67"")"),421248)</f>
        <v>421248</v>
      </c>
      <c r="N57" s="49">
        <f ca="1">IFERROR(__xludf.DUMMYFUNCTION("IMPORTRANGE(""https://docs.google.com/spreadsheets/d/1Yj_ptqi66GCucihVvJfMjLAmec39IyEx_6qawtMGysU/edit?usp=sharing"",""สบก!AA67"")"),421154.23)</f>
        <v>421154.23</v>
      </c>
      <c r="O57" s="38">
        <f ca="1">IF(L57&gt;0,N57*100/L57,0)</f>
        <v>105.2885575</v>
      </c>
      <c r="P57" s="38">
        <f ca="1">IF(M57&gt;0,N57*100/M57,0)</f>
        <v>99.977739953661498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IFERROR(__xludf.DUMMYFUNCTION("IMPORTRANGE(""https://docs.google.com/spreadsheets/d/1Yj_ptqi66GCucihVvJfMjLAmec39IyEx_6qawtMGysU/edit?usp=sharing"",""สบก!V67"")"),400000)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IFERROR(__xludf.DUMMYFUNCTION("IMPORTRANGE(""https://docs.google.com/spreadsheets/d/1Yj_ptqi66GCucihVvJfMjLAmec39IyEx_6qawtMGysU/edit?usp=sharing"",""สบก!X67"")"),0)</f>
        <v>0</v>
      </c>
      <c r="M61" s="49"/>
      <c r="N61" s="49">
        <f ca="1">IFERROR(__xludf.DUMMYFUNCTION("IMPORTRANGE(""https://docs.google.com/spreadsheets/d/1Yj_ptqi66GCucihVvJfMjLAmec39IyEx_6qawtMGysU/edit?usp=sharing"",""สบก!AB67"")"),0)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IFERROR(__xludf.DUMMYFUNCTION("IMPORTRANGE(""https://docs.google.com/spreadsheets/d/1SX6NBoVAgQJ6U1MVXOaj8PK2l7WJ3RER9xtqwdhxkhw/edit?usp=sharing"",""ปทุมธานี!I9"")"),0)</f>
        <v>0</v>
      </c>
      <c r="J64" s="142">
        <f ca="1">IFERROR(__xludf.DUMMYFUNCTION("IMPORTRANGE(""https://docs.google.com/spreadsheets/d/1SX6NBoVAgQJ6U1MVXOaj8PK2l7WJ3RER9xtqwdhxkhw/edit?usp=sharing"",""ปทุมธานี!J9"")"),0)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IFERROR(__xludf.DUMMYFUNCTION("IMPORTRANGE(""https://docs.google.com/spreadsheets/d/1SX6NBoVAgQJ6U1MVXOaj8PK2l7WJ3RER9xtqwdhxkhw/edit?usp=sharing"",""ปทุมธานี!I10"")"),0)</f>
        <v>0</v>
      </c>
      <c r="J65" s="142">
        <f ca="1">IFERROR(__xludf.DUMMYFUNCTION("IMPORTRANGE(""https://docs.google.com/spreadsheets/d/1SX6NBoVAgQJ6U1MVXOaj8PK2l7WJ3RER9xtqwdhxkhw/edit?usp=sharing"",""ปทุมธานี!J10"")"),0)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4760</v>
      </c>
      <c r="N66" s="152">
        <f t="shared" ca="1" si="45"/>
        <v>4760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4760</v>
      </c>
      <c r="N68" s="157">
        <f t="shared" ca="1" si="49"/>
        <v>4760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IFERROR(__xludf.DUMMYFUNCTION("IMPORTRANGE(""https://docs.google.com/spreadsheets/d/1Yj_ptqi66GCucihVvJfMjLAmec39IyEx_6qawtMGysU/edit?usp=sharing"",""สบก!AI67"")"),4760)</f>
        <v>4760</v>
      </c>
      <c r="N70" s="169">
        <f ca="1">IFERROR(__xludf.DUMMYFUNCTION("IMPORTRANGE(""https://docs.google.com/spreadsheets/d/1Yj_ptqi66GCucihVvJfMjLAmec39IyEx_6qawtMGysU/edit?usp=sharing"",""สบก!AJ67"")"),4760)</f>
        <v>4760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IFERROR(__xludf.DUMMYFUNCTION("IMPORTRANGE(""https://docs.google.com/spreadsheets/d/1Yj_ptqi66GCucihVvJfMjLAmec39IyEx_6qawtMGysU/edit?usp=sharing"",""สบก!AG67"")"),0)</f>
        <v>0</v>
      </c>
      <c r="M74" s="49"/>
      <c r="N74" s="49">
        <f ca="1">IFERROR(__xludf.DUMMYFUNCTION("IMPORTRANGE(""https://docs.google.com/spreadsheets/d/1Yj_ptqi66GCucihVvJfMjLAmec39IyEx_6qawtMGysU/edit?usp=sharing"",""สบก!AK67"")"),0)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IFERROR(__xludf.DUMMYFUNCTION("IMPORTRANGE(""https://docs.google.com/spreadsheets/d/1SX6NBoVAgQJ6U1MVXOaj8PK2l7WJ3RER9xtqwdhxkhw/edit?usp=sharing"",""ปทุมธานี!J16"")"),0)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IFERROR(__xludf.DUMMYFUNCTION("IMPORTRANGE(""https://docs.google.com/spreadsheets/d/1SX6NBoVAgQJ6U1MVXOaj8PK2l7WJ3RER9xtqwdhxkhw/edit?usp=sharing"",""ปทุมธานี!J17"")"),0)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IFERROR(__xludf.DUMMYFUNCTION("IMPORTRANGE(""https://docs.google.com/spreadsheets/d/1SX6NBoVAgQJ6U1MVXOaj8PK2l7WJ3RER9xtqwdhxkhw/edit?usp=sharing"",""ปทุมธานี!J18"")"),0)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IFERROR(__xludf.DUMMYFUNCTION("IMPORTRANGE(""https://docs.google.com/spreadsheets/d/1SX6NBoVAgQJ6U1MVXOaj8PK2l7WJ3RER9xtqwdhxkhw/edit?usp=sharing"",""ปทุมธานี!J19"")"),0)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IFERROR(__xludf.DUMMYFUNCTION("IMPORTRANGE(""https://docs.google.com/spreadsheets/d/1SX6NBoVAgQJ6U1MVXOaj8PK2l7WJ3RER9xtqwdhxkhw/edit?usp=sharing"",""ปทุมธานี!I20"")"),0)</f>
        <v>0</v>
      </c>
      <c r="J80" s="201">
        <f ca="1">IFERROR(__xludf.DUMMYFUNCTION("IMPORTRANGE(""https://docs.google.com/spreadsheets/d/1SX6NBoVAgQJ6U1MVXOaj8PK2l7WJ3RER9xtqwdhxkhw/edit?usp=sharing"",""ปทุมธานี!J20"")"),0)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IFERROR(__xludf.DUMMYFUNCTION("IMPORTRANGE(""https://docs.google.com/spreadsheets/d/1SX6NBoVAgQJ6U1MVXOaj8PK2l7WJ3RER9xtqwdhxkhw/edit?usp=sharing"",""ปทุมธานี!I21"")"),0)</f>
        <v>0</v>
      </c>
      <c r="J81" s="201">
        <f ca="1">IFERROR(__xludf.DUMMYFUNCTION("IMPORTRANGE(""https://docs.google.com/spreadsheets/d/1SX6NBoVAgQJ6U1MVXOaj8PK2l7WJ3RER9xtqwdhxkhw/edit?usp=sharing"",""ปทุมธานี!J21"")"),0)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IFERROR(__xludf.DUMMYFUNCTION("IMPORTRANGE(""https://docs.google.com/spreadsheets/d/1SX6NBoVAgQJ6U1MVXOaj8PK2l7WJ3RER9xtqwdhxkhw/edit?usp=sharing"",""ปทุมธานี!I22"")"),0)</f>
        <v>0</v>
      </c>
      <c r="J82" s="204">
        <f ca="1">IFERROR(__xludf.DUMMYFUNCTION("IMPORTRANGE(""https://docs.google.com/spreadsheets/d/1SX6NBoVAgQJ6U1MVXOaj8PK2l7WJ3RER9xtqwdhxkhw/edit?usp=sharing"",""ปทุมธานี!J22"")"),0)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IFERROR(__xludf.DUMMYFUNCTION("IMPORTRANGE(""https://docs.google.com/spreadsheets/d/1SX6NBoVAgQJ6U1MVXOaj8PK2l7WJ3RER9xtqwdhxkhw/edit?usp=sharing"",""ปทุมธานี!I23"")"),0)</f>
        <v>0</v>
      </c>
      <c r="J83" s="204">
        <f ca="1">IFERROR(__xludf.DUMMYFUNCTION("IMPORTRANGE(""https://docs.google.com/spreadsheets/d/1SX6NBoVAgQJ6U1MVXOaj8PK2l7WJ3RER9xtqwdhxkhw/edit?usp=sharing"",""ปทุมธานี!J23"")"),0)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IFERROR(__xludf.DUMMYFUNCTION("IMPORTRANGE(""https://docs.google.com/spreadsheets/d/1SX6NBoVAgQJ6U1MVXOaj8PK2l7WJ3RER9xtqwdhxkhw/edit?usp=sharing"",""ปทุมธานี!I24"")"),0)</f>
        <v>0</v>
      </c>
      <c r="J84" s="189">
        <f ca="1">IFERROR(__xludf.DUMMYFUNCTION("IMPORTRANGE(""https://docs.google.com/spreadsheets/d/1SX6NBoVAgQJ6U1MVXOaj8PK2l7WJ3RER9xtqwdhxkhw/edit?usp=sharing"",""ปทุมธานี!J24"")"),0)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IFERROR(__xludf.DUMMYFUNCTION("IMPORTRANGE(""https://docs.google.com/spreadsheets/d/1SX6NBoVAgQJ6U1MVXOaj8PK2l7WJ3RER9xtqwdhxkhw/edit?usp=sharing"",""ปทุมธานี!I25"")"),0)</f>
        <v>0</v>
      </c>
      <c r="J85" s="189">
        <f ca="1">IFERROR(__xludf.DUMMYFUNCTION("IMPORTRANGE(""https://docs.google.com/spreadsheets/d/1SX6NBoVAgQJ6U1MVXOaj8PK2l7WJ3RER9xtqwdhxkhw/edit?usp=sharing"",""ปทุมธานี!J25"")"),0)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IFERROR(__xludf.DUMMYFUNCTION("IMPORTRANGE(""https://docs.google.com/spreadsheets/d/1SX6NBoVAgQJ6U1MVXOaj8PK2l7WJ3RER9xtqwdhxkhw/edit?usp=sharing"",""ปทุมธานี!I26"")"),0)</f>
        <v>0</v>
      </c>
      <c r="J86" s="204">
        <f ca="1">IFERROR(__xludf.DUMMYFUNCTION("IMPORTRANGE(""https://docs.google.com/spreadsheets/d/1SX6NBoVAgQJ6U1MVXOaj8PK2l7WJ3RER9xtqwdhxkhw/edit?usp=sharing"",""ปทุมธานี!J26"")"),0)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IFERROR(__xludf.DUMMYFUNCTION("IMPORTRANGE(""https://docs.google.com/spreadsheets/d/1SX6NBoVAgQJ6U1MVXOaj8PK2l7WJ3RER9xtqwdhxkhw/edit?usp=sharing"",""ปทุมธานี!I27"")"),0)</f>
        <v>0</v>
      </c>
      <c r="J87" s="204">
        <f ca="1">IFERROR(__xludf.DUMMYFUNCTION("IMPORTRANGE(""https://docs.google.com/spreadsheets/d/1SX6NBoVAgQJ6U1MVXOaj8PK2l7WJ3RER9xtqwdhxkhw/edit?usp=sharing"",""ปทุมธานี!J27"")"),0)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IFERROR(__xludf.DUMMYFUNCTION("IMPORTRANGE(""https://docs.google.com/spreadsheets/d/1SX6NBoVAgQJ6U1MVXOaj8PK2l7WJ3RER9xtqwdhxkhw/edit?usp=sharing"",""ปทุมธานี!I28"")"),0)</f>
        <v>0</v>
      </c>
      <c r="J88" s="204">
        <f ca="1">IFERROR(__xludf.DUMMYFUNCTION("IMPORTRANGE(""https://docs.google.com/spreadsheets/d/1SX6NBoVAgQJ6U1MVXOaj8PK2l7WJ3RER9xtqwdhxkhw/edit?usp=sharing"",""ปทุมธานี!J28"")"),0)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IFERROR(__xludf.DUMMYFUNCTION("IMPORTRANGE(""https://docs.google.com/spreadsheets/d/1SX6NBoVAgQJ6U1MVXOaj8PK2l7WJ3RER9xtqwdhxkhw/edit?usp=sharing"",""ปทุมธานี!J29"")"),0)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IFERROR(__xludf.DUMMYFUNCTION("IMPORTRANGE(""https://docs.google.com/spreadsheets/d/1SX6NBoVAgQJ6U1MVXOaj8PK2l7WJ3RER9xtqwdhxkhw/edit?usp=sharing"",""ปทุมธานี!J30"")"),0)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IFERROR(__xludf.DUMMYFUNCTION("IMPORTRANGE(""https://docs.google.com/spreadsheets/d/1SX6NBoVAgQJ6U1MVXOaj8PK2l7WJ3RER9xtqwdhxkhw/edit?usp=sharing"",""ปทุมธานี!I32"")"),0)</f>
        <v>0</v>
      </c>
      <c r="J92" s="142">
        <f ca="1">IFERROR(__xludf.DUMMYFUNCTION("IMPORTRANGE(""https://docs.google.com/spreadsheets/d/1SX6NBoVAgQJ6U1MVXOaj8PK2l7WJ3RER9xtqwdhxkhw/edit?usp=sharing"",""ปทุมธานี!J32"")"),0)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IFERROR(__xludf.DUMMYFUNCTION("IMPORTRANGE(""https://docs.google.com/spreadsheets/d/1SX6NBoVAgQJ6U1MVXOaj8PK2l7WJ3RER9xtqwdhxkhw/edit?usp=sharing"",""ปทุมธานี!I33"")"),0)</f>
        <v>0</v>
      </c>
      <c r="J93" s="142">
        <f ca="1">IFERROR(__xludf.DUMMYFUNCTION("IMPORTRANGE(""https://docs.google.com/spreadsheets/d/1SX6NBoVAgQJ6U1MVXOaj8PK2l7WJ3RER9xtqwdhxkhw/edit?usp=sharing"",""ปทุมธานี!J33"")"),0)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IFERROR(__xludf.DUMMYFUNCTION("IMPORTRANGE(""https://docs.google.com/spreadsheets/d/1Yj_ptqi66GCucihVvJfMjLAmec39IyEx_6qawtMGysU/edit?usp=sharing"",""สบก!AR67"")"),0)</f>
        <v>0</v>
      </c>
      <c r="N98" s="169">
        <f ca="1">IFERROR(__xludf.DUMMYFUNCTION("IMPORTRANGE(""https://docs.google.com/spreadsheets/d/1Yj_ptqi66GCucihVvJfMjLAmec39IyEx_6qawtMGysU/edit?usp=sharing"",""สบก!AS67"")"),0)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IFERROR(__xludf.DUMMYFUNCTION("IMPORTRANGE(""https://docs.google.com/spreadsheets/d/1Yj_ptqi66GCucihVvJfMjLAmec39IyEx_6qawtMGysU/edit?usp=sharing"",""สบก!AP67"")"),0)</f>
        <v>0</v>
      </c>
      <c r="M102" s="49"/>
      <c r="N102" s="49">
        <f ca="1">IFERROR(__xludf.DUMMYFUNCTION("IMPORTRANGE(""https://docs.google.com/spreadsheets/d/1Yj_ptqi66GCucihVvJfMjLAmec39IyEx_6qawtMGysU/edit?usp=sharing"",""สบก!AT67"")"),0)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IFERROR(__xludf.DUMMYFUNCTION("IMPORTRANGE(""https://docs.google.com/spreadsheets/d/1SX6NBoVAgQJ6U1MVXOaj8PK2l7WJ3RER9xtqwdhxkhw/edit?usp=sharing"",""ปทุมธานี!J39"")"),0)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IFERROR(__xludf.DUMMYFUNCTION("IMPORTRANGE(""https://docs.google.com/spreadsheets/d/1SX6NBoVAgQJ6U1MVXOaj8PK2l7WJ3RER9xtqwdhxkhw/edit?usp=sharing"",""ปทุมธานี!J40"")"),0)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IFERROR(__xludf.DUMMYFUNCTION("IMPORTRANGE(""https://docs.google.com/spreadsheets/d/1SX6NBoVAgQJ6U1MVXOaj8PK2l7WJ3RER9xtqwdhxkhw/edit?usp=sharing"",""ปทุมธานี!J41"")"),0)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IFERROR(__xludf.DUMMYFUNCTION("IMPORTRANGE(""https://docs.google.com/spreadsheets/d/1SX6NBoVAgQJ6U1MVXOaj8PK2l7WJ3RER9xtqwdhxkhw/edit?usp=sharing"",""ปทุมธานี!J42"")"),0)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IFERROR(__xludf.DUMMYFUNCTION("IMPORTRANGE(""https://docs.google.com/spreadsheets/d/1SX6NBoVAgQJ6U1MVXOaj8PK2l7WJ3RER9xtqwdhxkhw/edit?usp=sharing"",""ปทุมธานี!I43"")"),0)</f>
        <v>0</v>
      </c>
      <c r="J108" s="204">
        <f ca="1">IFERROR(__xludf.DUMMYFUNCTION("IMPORTRANGE(""https://docs.google.com/spreadsheets/d/1SX6NBoVAgQJ6U1MVXOaj8PK2l7WJ3RER9xtqwdhxkhw/edit?usp=sharing"",""ปทุมธานี!J43"")"),0)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IFERROR(__xludf.DUMMYFUNCTION("IMPORTRANGE(""https://docs.google.com/spreadsheets/d/1SX6NBoVAgQJ6U1MVXOaj8PK2l7WJ3RER9xtqwdhxkhw/edit?usp=sharing"",""ปทุมธานี!I44"")"),0)</f>
        <v>0</v>
      </c>
      <c r="J109" s="204">
        <f ca="1">IFERROR(__xludf.DUMMYFUNCTION("IMPORTRANGE(""https://docs.google.com/spreadsheets/d/1SX6NBoVAgQJ6U1MVXOaj8PK2l7WJ3RER9xtqwdhxkhw/edit?usp=sharing"",""ปทุมธานี!J44"")"),0)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IFERROR(__xludf.DUMMYFUNCTION("IMPORTRANGE(""https://docs.google.com/spreadsheets/d/1SX6NBoVAgQJ6U1MVXOaj8PK2l7WJ3RER9xtqwdhxkhw/edit?usp=sharing"",""ปทุมธานี!I45"")"),0)</f>
        <v>0</v>
      </c>
      <c r="J110" s="204">
        <f ca="1">IFERROR(__xludf.DUMMYFUNCTION("IMPORTRANGE(""https://docs.google.com/spreadsheets/d/1SX6NBoVAgQJ6U1MVXOaj8PK2l7WJ3RER9xtqwdhxkhw/edit?usp=sharing"",""ปทุมธานี!J45"")"),0)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IFERROR(__xludf.DUMMYFUNCTION("IMPORTRANGE(""https://docs.google.com/spreadsheets/d/1SX6NBoVAgQJ6U1MVXOaj8PK2l7WJ3RER9xtqwdhxkhw/edit?usp=sharing"",""ปทุมธานี!I46"")"),0)</f>
        <v>0</v>
      </c>
      <c r="J111" s="204">
        <f ca="1">IFERROR(__xludf.DUMMYFUNCTION("IMPORTRANGE(""https://docs.google.com/spreadsheets/d/1SX6NBoVAgQJ6U1MVXOaj8PK2l7WJ3RER9xtqwdhxkhw/edit?usp=sharing"",""ปทุมธานี!J46"")"),0)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IFERROR(__xludf.DUMMYFUNCTION("IMPORTRANGE(""https://docs.google.com/spreadsheets/d/1SX6NBoVAgQJ6U1MVXOaj8PK2l7WJ3RER9xtqwdhxkhw/edit?usp=sharing"",""ปทุมธานี!I47"")"),0)</f>
        <v>0</v>
      </c>
      <c r="J112" s="204">
        <f ca="1">IFERROR(__xludf.DUMMYFUNCTION("IMPORTRANGE(""https://docs.google.com/spreadsheets/d/1SX6NBoVAgQJ6U1MVXOaj8PK2l7WJ3RER9xtqwdhxkhw/edit?usp=sharing"",""ปทุมธานี!J47"")"),0)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IFERROR(__xludf.DUMMYFUNCTION("IMPORTRANGE(""https://docs.google.com/spreadsheets/d/1SX6NBoVAgQJ6U1MVXOaj8PK2l7WJ3RER9xtqwdhxkhw/edit?usp=sharing"",""ปทุมธานี!I48"")"),0)</f>
        <v>0</v>
      </c>
      <c r="J113" s="204">
        <f ca="1">IFERROR(__xludf.DUMMYFUNCTION("IMPORTRANGE(""https://docs.google.com/spreadsheets/d/1SX6NBoVAgQJ6U1MVXOaj8PK2l7WJ3RER9xtqwdhxkhw/edit?usp=sharing"",""ปทุมธานี!J48"")"),0)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IFERROR(__xludf.DUMMYFUNCTION("IMPORTRANGE(""https://docs.google.com/spreadsheets/d/1SX6NBoVAgQJ6U1MVXOaj8PK2l7WJ3RER9xtqwdhxkhw/edit?usp=sharing"",""ปทุมธานี!J49"")"),0)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IFERROR(__xludf.DUMMYFUNCTION("IMPORTRANGE(""https://docs.google.com/spreadsheets/d/1SX6NBoVAgQJ6U1MVXOaj8PK2l7WJ3RER9xtqwdhxkhw/edit?usp=sharing"",""ปทุมธานี!J50"")"),0)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IFERROR(__xludf.DUMMYFUNCTION("IMPORTRANGE(""https://docs.google.com/spreadsheets/d/1SX6NBoVAgQJ6U1MVXOaj8PK2l7WJ3RER9xtqwdhxkhw/edit?usp=sharing"",""ปทุมธานี!I52"")"),0)</f>
        <v>0</v>
      </c>
      <c r="J117" s="142">
        <f ca="1">IFERROR(__xludf.DUMMYFUNCTION("IMPORTRANGE(""https://docs.google.com/spreadsheets/d/1SX6NBoVAgQJ6U1MVXOaj8PK2l7WJ3RER9xtqwdhxkhw/edit?usp=sharing"",""ปทุมธานี!J52"")"),0)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IFERROR(__xludf.DUMMYFUNCTION("IMPORTRANGE(""https://docs.google.com/spreadsheets/d/1Yj_ptqi66GCucihVvJfMjLAmec39IyEx_6qawtMGysU/edit?usp=sharing"",""สบก!BA67"")"),0)</f>
        <v>0</v>
      </c>
      <c r="N122" s="169">
        <f ca="1">IFERROR(__xludf.DUMMYFUNCTION("IMPORTRANGE(""https://docs.google.com/spreadsheets/d/1Yj_ptqi66GCucihVvJfMjLAmec39IyEx_6qawtMGysU/edit?usp=sharing"",""สบก!BB67"")"),0)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IFERROR(__xludf.DUMMYFUNCTION("IMPORTRANGE(""https://docs.google.com/spreadsheets/d/1Yj_ptqi66GCucihVvJfMjLAmec39IyEx_6qawtMGysU/edit?usp=sharing"",""สบก!AY67"")"),0)</f>
        <v>0</v>
      </c>
      <c r="M126" s="49"/>
      <c r="N126" s="49">
        <f ca="1">IFERROR(__xludf.DUMMYFUNCTION("IMPORTRANGE(""https://docs.google.com/spreadsheets/d/1Yj_ptqi66GCucihVvJfMjLAmec39IyEx_6qawtMGysU/edit?usp=sharing"",""สบก!BC67"")"),0)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IFERROR(__xludf.DUMMYFUNCTION("IMPORTRANGE(""https://docs.google.com/spreadsheets/d/1SX6NBoVAgQJ6U1MVXOaj8PK2l7WJ3RER9xtqwdhxkhw/edit?usp=sharing"",""ปทุมธานี!J58"")"),0)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IFERROR(__xludf.DUMMYFUNCTION("IMPORTRANGE(""https://docs.google.com/spreadsheets/d/1SX6NBoVAgQJ6U1MVXOaj8PK2l7WJ3RER9xtqwdhxkhw/edit?usp=sharing"",""ปทุมธานี!J59"")"),0)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IFERROR(__xludf.DUMMYFUNCTION("IMPORTRANGE(""https://docs.google.com/spreadsheets/d/1SX6NBoVAgQJ6U1MVXOaj8PK2l7WJ3RER9xtqwdhxkhw/edit?usp=sharing"",""ปทุมธานี!J60"")"),0)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IFERROR(__xludf.DUMMYFUNCTION("IMPORTRANGE(""https://docs.google.com/spreadsheets/d/1SX6NBoVAgQJ6U1MVXOaj8PK2l7WJ3RER9xtqwdhxkhw/edit?usp=sharing"",""ปทุมธานี!J61"")"),0)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IFERROR(__xludf.DUMMYFUNCTION("IMPORTRANGE(""https://docs.google.com/spreadsheets/d/1SX6NBoVAgQJ6U1MVXOaj8PK2l7WJ3RER9xtqwdhxkhw/edit?usp=sharing"",""ปทุมธานี!I62"")"),0)</f>
        <v>0</v>
      </c>
      <c r="J132" s="204">
        <f ca="1">IFERROR(__xludf.DUMMYFUNCTION("IMPORTRANGE(""https://docs.google.com/spreadsheets/d/1SX6NBoVAgQJ6U1MVXOaj8PK2l7WJ3RER9xtqwdhxkhw/edit?usp=sharing"",""ปทุมธานี!J62"")"),0)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IFERROR(__xludf.DUMMYFUNCTION("IMPORTRANGE(""https://docs.google.com/spreadsheets/d/1SX6NBoVAgQJ6U1MVXOaj8PK2l7WJ3RER9xtqwdhxkhw/edit?usp=sharing"",""ปทุมธานี!I63"")"),0)</f>
        <v>0</v>
      </c>
      <c r="J133" s="204">
        <f ca="1">IFERROR(__xludf.DUMMYFUNCTION("IMPORTRANGE(""https://docs.google.com/spreadsheets/d/1SX6NBoVAgQJ6U1MVXOaj8PK2l7WJ3RER9xtqwdhxkhw/edit?usp=sharing"",""ปทุมธานี!J63"")"),0)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IFERROR(__xludf.DUMMYFUNCTION("IMPORTRANGE(""https://docs.google.com/spreadsheets/d/1SX6NBoVAgQJ6U1MVXOaj8PK2l7WJ3RER9xtqwdhxkhw/edit?usp=sharing"",""ปทุมธานี!J64"")"),0)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IFERROR(__xludf.DUMMYFUNCTION("IMPORTRANGE(""https://docs.google.com/spreadsheets/d/1SX6NBoVAgQJ6U1MVXOaj8PK2l7WJ3RER9xtqwdhxkhw/edit?usp=sharing"",""ปทุมธานี!J65"")"),0)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IFERROR(__xludf.DUMMYFUNCTION("IMPORTRANGE(""https://docs.google.com/spreadsheets/d/1SX6NBoVAgQJ6U1MVXOaj8PK2l7WJ3RER9xtqwdhxkhw/edit?usp=sharing"",""ปทุมธานี!I68"")"),30)</f>
        <v>30</v>
      </c>
      <c r="J138" s="268">
        <f ca="1">IFERROR(__xludf.DUMMYFUNCTION("IMPORTRANGE(""https://docs.google.com/spreadsheets/d/1SX6NBoVAgQJ6U1MVXOaj8PK2l7WJ3RER9xtqwdhxkhw/edit?usp=sharing"",""ปทุมธานี!J68"")"),30)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668300</v>
      </c>
      <c r="M140" s="152">
        <f t="shared" ca="1" si="64"/>
        <v>679800</v>
      </c>
      <c r="N140" s="152">
        <f t="shared" ca="1" si="64"/>
        <v>545388.19999999995</v>
      </c>
      <c r="O140" s="151">
        <f t="shared" ref="O140:O142" ca="1" si="65">IF(L140&gt;0,N140*100/L140,0)</f>
        <v>81.608289690258857</v>
      </c>
      <c r="P140" s="151">
        <f t="shared" ref="P140:P142" ca="1" si="66">IF(M140&gt;0,N140*100/M140,0)</f>
        <v>80.227743453957032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668300</v>
      </c>
      <c r="M142" s="157">
        <f t="shared" ca="1" si="68"/>
        <v>679800</v>
      </c>
      <c r="N142" s="157">
        <f t="shared" ca="1" si="68"/>
        <v>545388.19999999995</v>
      </c>
      <c r="O142" s="156">
        <f t="shared" ca="1" si="65"/>
        <v>81.608289690258857</v>
      </c>
      <c r="P142" s="156">
        <f t="shared" ca="1" si="66"/>
        <v>80.227743453957032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668300</v>
      </c>
      <c r="M144" s="168">
        <f ca="1">IFERROR(__xludf.DUMMYFUNCTION("IMPORTRANGE(""https://docs.google.com/spreadsheets/d/1Yj_ptqi66GCucihVvJfMjLAmec39IyEx_6qawtMGysU/edit?usp=sharing"",""สบก!BJ67"")"),679800)</f>
        <v>679800</v>
      </c>
      <c r="N144" s="169">
        <f ca="1">IFERROR(__xludf.DUMMYFUNCTION("IMPORTRANGE(""https://docs.google.com/spreadsheets/d/1Yj_ptqi66GCucihVvJfMjLAmec39IyEx_6qawtMGysU/edit?usp=sharing"",""สบก!BK67"")"),545388.2)</f>
        <v>545388.19999999995</v>
      </c>
      <c r="O144" s="169">
        <f ca="1">IF(L144&gt;0,N144*100/L144,0)</f>
        <v>81.608289690258857</v>
      </c>
      <c r="P144" s="169">
        <f ca="1">IF(M144&gt;0,N144*100/M144,0)</f>
        <v>80.227743453957032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IFERROR(__xludf.DUMMYFUNCTION("IMPORTRANGE(""https://docs.google.com/spreadsheets/d/1Yj_ptqi66GCucihVvJfMjLAmec39IyEx_6qawtMGysU/edit?usp=sharing"",""สบก!BF67"")"),448300)</f>
        <v>448300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IFERROR(__xludf.DUMMYFUNCTION("IMPORTRANGE(""https://docs.google.com/spreadsheets/d/1Yj_ptqi66GCucihVvJfMjLAmec39IyEx_6qawtMGysU/edit?usp=sharing"",""สบก!BG67"")"),220000)</f>
        <v>220000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IFERROR(__xludf.DUMMYFUNCTION("IMPORTRANGE(""https://docs.google.com/spreadsheets/d/1Yj_ptqi66GCucihVvJfMjLAmec39IyEx_6qawtMGysU/edit?usp=sharing"",""สบก!BH67"")"),0)</f>
        <v>0</v>
      </c>
      <c r="M148" s="49"/>
      <c r="N148" s="49">
        <f ca="1">IFERROR(__xludf.DUMMYFUNCTION("IMPORTRANGE(""https://docs.google.com/spreadsheets/d/1Yj_ptqi66GCucihVvJfMjLAmec39IyEx_6qawtMGysU/edit?usp=sharing"",""สบก!BL67"")"),0)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IFERROR(__xludf.DUMMYFUNCTION("IMPORTRANGE(""https://docs.google.com/spreadsheets/d/1SX6NBoVAgQJ6U1MVXOaj8PK2l7WJ3RER9xtqwdhxkhw/edit?usp=sharing"",""ปทุมธานี!I74"")"),4)</f>
        <v>4</v>
      </c>
      <c r="J149" s="276">
        <f ca="1">IFERROR(__xludf.DUMMYFUNCTION("IMPORTRANGE(""https://docs.google.com/spreadsheets/d/1SX6NBoVAgQJ6U1MVXOaj8PK2l7WJ3RER9xtqwdhxkhw/edit?usp=sharing"",""ปทุมธานี!J74"")"),2)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IFERROR(__xludf.DUMMYFUNCTION("IMPORTRANGE(""https://docs.google.com/spreadsheets/d/1SX6NBoVAgQJ6U1MVXOaj8PK2l7WJ3RER9xtqwdhxkhw/edit?usp=sharing"",""ปทุมธานี!J79"")"),0)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IFERROR(__xludf.DUMMYFUNCTION("IMPORTRANGE(""https://docs.google.com/spreadsheets/d/1SX6NBoVAgQJ6U1MVXOaj8PK2l7WJ3RER9xtqwdhxkhw/edit?usp=sharing"",""ปทุมธานี!J80"")"),1)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IFERROR(__xludf.DUMMYFUNCTION("IMPORTRANGE(""https://docs.google.com/spreadsheets/d/1SX6NBoVAgQJ6U1MVXOaj8PK2l7WJ3RER9xtqwdhxkhw/edit?usp=sharing"",""ปทุมธานี!J81"")"),1)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IFERROR(__xludf.DUMMYFUNCTION("IMPORTRANGE(""https://docs.google.com/spreadsheets/d/1SX6NBoVAgQJ6U1MVXOaj8PK2l7WJ3RER9xtqwdhxkhw/edit?usp=sharing"",""ปทุมธานี!J82"")"),1)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IFERROR(__xludf.DUMMYFUNCTION("IMPORTRANGE(""https://docs.google.com/spreadsheets/d/1SX6NBoVAgQJ6U1MVXOaj8PK2l7WJ3RER9xtqwdhxkhw/edit?usp=sharing"",""ปทุมธานี!I83"")"),4)</f>
        <v>4</v>
      </c>
      <c r="J158" s="189">
        <f ca="1">IFERROR(__xludf.DUMMYFUNCTION("IMPORTRANGE(""https://docs.google.com/spreadsheets/d/1SX6NBoVAgQJ6U1MVXOaj8PK2l7WJ3RER9xtqwdhxkhw/edit?usp=sharing"",""ปทุมธานี!J83"")"),2)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IFERROR(__xludf.DUMMYFUNCTION("IMPORTRANGE(""https://docs.google.com/spreadsheets/d/1SX6NBoVAgQJ6U1MVXOaj8PK2l7WJ3RER9xtqwdhxkhw/edit?usp=sharing"",""ปทุมธานี!J84"")"),59)</f>
        <v>59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IFERROR(__xludf.DUMMYFUNCTION("IMPORTRANGE(""https://docs.google.com/spreadsheets/d/1SX6NBoVAgQJ6U1MVXOaj8PK2l7WJ3RER9xtqwdhxkhw/edit?usp=sharing"",""ปทุมธานี!J85"")"),59)</f>
        <v>59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IFERROR(__xludf.DUMMYFUNCTION("IMPORTRANGE(""https://docs.google.com/spreadsheets/d/1SX6NBoVAgQJ6U1MVXOaj8PK2l7WJ3RER9xtqwdhxkhw/edit?usp=sharing"",""ปทุมธานี!J86"")"),0)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IFERROR(__xludf.DUMMYFUNCTION("IMPORTRANGE(""https://docs.google.com/spreadsheets/d/1SX6NBoVAgQJ6U1MVXOaj8PK2l7WJ3RER9xtqwdhxkhw/edit?usp=sharing"",""ปทุมธานี!J87"")"),0)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IFERROR(__xludf.DUMMYFUNCTION("IMPORTRANGE(""https://docs.google.com/spreadsheets/d/1SX6NBoVAgQJ6U1MVXOaj8PK2l7WJ3RER9xtqwdhxkhw/edit?usp=sharing"",""ปทุมธานี!J88"")"),0)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IFERROR(__xludf.DUMMYFUNCTION("IMPORTRANGE(""https://docs.google.com/spreadsheets/d/1SX6NBoVAgQJ6U1MVXOaj8PK2l7WJ3RER9xtqwdhxkhw/edit?usp=sharing"",""ปทุมธานี!I89"")"),1)</f>
        <v>1</v>
      </c>
      <c r="J164" s="285">
        <f ca="1">IFERROR(__xludf.DUMMYFUNCTION("IMPORTRANGE(""https://docs.google.com/spreadsheets/d/1SX6NBoVAgQJ6U1MVXOaj8PK2l7WJ3RER9xtqwdhxkhw/edit?usp=sharing"",""ปทุมธานี!J89"")"),1)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IFERROR(__xludf.DUMMYFUNCTION("IMPORTRANGE(""https://docs.google.com/spreadsheets/d/1SX6NBoVAgQJ6U1MVXOaj8PK2l7WJ3RER9xtqwdhxkhw/edit?usp=sharing"",""ปทุมธานี!J94"")"),0)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IFERROR(__xludf.DUMMYFUNCTION("IMPORTRANGE(""https://docs.google.com/spreadsheets/d/1SX6NBoVAgQJ6U1MVXOaj8PK2l7WJ3RER9xtqwdhxkhw/edit?usp=sharing"",""ปทุมธานี!J95"")"),0)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IFERROR(__xludf.DUMMYFUNCTION("IMPORTRANGE(""https://docs.google.com/spreadsheets/d/1SX6NBoVAgQJ6U1MVXOaj8PK2l7WJ3RER9xtqwdhxkhw/edit?usp=sharing"",""ปทุมธานี!J96"")"),0)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IFERROR(__xludf.DUMMYFUNCTION("IMPORTRANGE(""https://docs.google.com/spreadsheets/d/1SX6NBoVAgQJ6U1MVXOaj8PK2l7WJ3RER9xtqwdhxkhw/edit?usp=sharing"",""ปทุมธานี!J97"")"),0)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IFERROR(__xludf.DUMMYFUNCTION("IMPORTRANGE(""https://docs.google.com/spreadsheets/d/1SX6NBoVAgQJ6U1MVXOaj8PK2l7WJ3RER9xtqwdhxkhw/edit?usp=sharing"",""ปทุมธานี!I98"")"),1)</f>
        <v>1</v>
      </c>
      <c r="J173" s="189">
        <f ca="1">IFERROR(__xludf.DUMMYFUNCTION("IMPORTRANGE(""https://docs.google.com/spreadsheets/d/1SX6NBoVAgQJ6U1MVXOaj8PK2l7WJ3RER9xtqwdhxkhw/edit?usp=sharing"",""ปทุมธานี!J98"")"),1)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IFERROR(__xludf.DUMMYFUNCTION("IMPORTRANGE(""https://docs.google.com/spreadsheets/d/1SX6NBoVAgQJ6U1MVXOaj8PK2l7WJ3RER9xtqwdhxkhw/edit?usp=sharing"",""ปทุมธานี!J99"")"),0)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IFERROR(__xludf.DUMMYFUNCTION("IMPORTRANGE(""https://docs.google.com/spreadsheets/d/1SX6NBoVAgQJ6U1MVXOaj8PK2l7WJ3RER9xtqwdhxkhw/edit?usp=sharing"",""ปทุมธานี!J100"")"),1)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IFERROR(__xludf.DUMMYFUNCTION("IMPORTRANGE(""https://docs.google.com/spreadsheets/d/1SX6NBoVAgQJ6U1MVXOaj8PK2l7WJ3RER9xtqwdhxkhw/edit?usp=sharing"",""ปทุมธานี!I101"")"),0)</f>
        <v>0</v>
      </c>
      <c r="J176" s="285">
        <f ca="1">IFERROR(__xludf.DUMMYFUNCTION("IMPORTRANGE(""https://docs.google.com/spreadsheets/d/1SX6NBoVAgQJ6U1MVXOaj8PK2l7WJ3RER9xtqwdhxkhw/edit?usp=sharing"",""ปทุมธานี!J101"")"),0)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IFERROR(__xludf.DUMMYFUNCTION("IMPORTRANGE(""https://docs.google.com/spreadsheets/d/1SX6NBoVAgQJ6U1MVXOaj8PK2l7WJ3RER9xtqwdhxkhw/edit?usp=sharing"",""ปทุมธานี!J106"")"),0)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IFERROR(__xludf.DUMMYFUNCTION("IMPORTRANGE(""https://docs.google.com/spreadsheets/d/1SX6NBoVAgQJ6U1MVXOaj8PK2l7WJ3RER9xtqwdhxkhw/edit?usp=sharing"",""ปทุมธานี!J107"")"),0)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IFERROR(__xludf.DUMMYFUNCTION("IMPORTRANGE(""https://docs.google.com/spreadsheets/d/1SX6NBoVAgQJ6U1MVXOaj8PK2l7WJ3RER9xtqwdhxkhw/edit?usp=sharing"",""ปทุมธานี!J108"")"),0)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IFERROR(__xludf.DUMMYFUNCTION("IMPORTRANGE(""https://docs.google.com/spreadsheets/d/1SX6NBoVAgQJ6U1MVXOaj8PK2l7WJ3RER9xtqwdhxkhw/edit?usp=sharing"",""ปทุมธานี!J109"")"),0)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IFERROR(__xludf.DUMMYFUNCTION("IMPORTRANGE(""https://docs.google.com/spreadsheets/d/1SX6NBoVAgQJ6U1MVXOaj8PK2l7WJ3RER9xtqwdhxkhw/edit?usp=sharing"",""ปทุมธานี!I110"")"),0)</f>
        <v>0</v>
      </c>
      <c r="J185" s="204">
        <f ca="1">IFERROR(__xludf.DUMMYFUNCTION("IMPORTRANGE(""https://docs.google.com/spreadsheets/d/1SX6NBoVAgQJ6U1MVXOaj8PK2l7WJ3RER9xtqwdhxkhw/edit?usp=sharing"",""ปทุมธานี!J110"")"),0)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IFERROR(__xludf.DUMMYFUNCTION("IMPORTRANGE(""https://docs.google.com/spreadsheets/d/1SX6NBoVAgQJ6U1MVXOaj8PK2l7WJ3RER9xtqwdhxkhw/edit?usp=sharing"",""ปทุมธานี!I111"")"),0)</f>
        <v>0</v>
      </c>
      <c r="J186" s="204">
        <f ca="1">IFERROR(__xludf.DUMMYFUNCTION("IMPORTRANGE(""https://docs.google.com/spreadsheets/d/1SX6NBoVAgQJ6U1MVXOaj8PK2l7WJ3RER9xtqwdhxkhw/edit?usp=sharing"",""ปทุมธานี!J111"")"),0)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IFERROR(__xludf.DUMMYFUNCTION("IMPORTRANGE(""https://docs.google.com/spreadsheets/d/1SX6NBoVAgQJ6U1MVXOaj8PK2l7WJ3RER9xtqwdhxkhw/edit?usp=sharing"",""ปทุมธานี!J112"")"),0)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IFERROR(__xludf.DUMMYFUNCTION("IMPORTRANGE(""https://docs.google.com/spreadsheets/d/1SX6NBoVAgQJ6U1MVXOaj8PK2l7WJ3RER9xtqwdhxkhw/edit?usp=sharing"",""ปทุมธานี!J113"")"),0)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IFERROR(__xludf.DUMMYFUNCTION("IMPORTRANGE(""https://docs.google.com/spreadsheets/d/1SX6NBoVAgQJ6U1MVXOaj8PK2l7WJ3RER9xtqwdhxkhw/edit?usp=sharing"",""ปทุมธานี!I114"")"),20000)</f>
        <v>20000</v>
      </c>
      <c r="J189" s="285">
        <f ca="1">IFERROR(__xludf.DUMMYFUNCTION("IMPORTRANGE(""https://docs.google.com/spreadsheets/d/1SX6NBoVAgQJ6U1MVXOaj8PK2l7WJ3RER9xtqwdhxkhw/edit?usp=sharing"",""ปทุมธานี!J114"")"),0)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IFERROR(__xludf.DUMMYFUNCTION("IMPORTRANGE(""https://docs.google.com/spreadsheets/d/1SX6NBoVAgQJ6U1MVXOaj8PK2l7WJ3RER9xtqwdhxkhw/edit?usp=sharing"",""ปทุมธานี!J119"")"),0)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IFERROR(__xludf.DUMMYFUNCTION("IMPORTRANGE(""https://docs.google.com/spreadsheets/d/1SX6NBoVAgQJ6U1MVXOaj8PK2l7WJ3RER9xtqwdhxkhw/edit?usp=sharing"",""ปทุมธานี!J120"")"),1)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IFERROR(__xludf.DUMMYFUNCTION("IMPORTRANGE(""https://docs.google.com/spreadsheets/d/1SX6NBoVAgQJ6U1MVXOaj8PK2l7WJ3RER9xtqwdhxkhw/edit?usp=sharing"",""ปทุมธานี!J121"")"),1)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IFERROR(__xludf.DUMMYFUNCTION("IMPORTRANGE(""https://docs.google.com/spreadsheets/d/1SX6NBoVAgQJ6U1MVXOaj8PK2l7WJ3RER9xtqwdhxkhw/edit?usp=sharing"",""ปทุมธานี!J122"")"),0)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IFERROR(__xludf.DUMMYFUNCTION("IMPORTRANGE(""https://docs.google.com/spreadsheets/d/1SX6NBoVAgQJ6U1MVXOaj8PK2l7WJ3RER9xtqwdhxkhw/edit?usp=sharing"",""ปทุมธานี!I124"")"),20000)</f>
        <v>20000</v>
      </c>
      <c r="J199" s="189">
        <f ca="1">IFERROR(__xludf.DUMMYFUNCTION("IMPORTRANGE(""https://docs.google.com/spreadsheets/d/1SX6NBoVAgQJ6U1MVXOaj8PK2l7WJ3RER9xtqwdhxkhw/edit?usp=sharing"",""ปทุมธานี!J124"")"),0)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IFERROR(__xludf.DUMMYFUNCTION("IMPORTRANGE(""https://docs.google.com/spreadsheets/d/1SX6NBoVAgQJ6U1MVXOaj8PK2l7WJ3RER9xtqwdhxkhw/edit?usp=sharing"",""ปทุมธานี!I125"")"),20000)</f>
        <v>20000</v>
      </c>
      <c r="J200" s="189">
        <f ca="1">IFERROR(__xludf.DUMMYFUNCTION("IMPORTRANGE(""https://docs.google.com/spreadsheets/d/1SX6NBoVAgQJ6U1MVXOaj8PK2l7WJ3RER9xtqwdhxkhw/edit?usp=sharing"",""ปทุมธานี!J125"")"),0)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IFERROR(__xludf.DUMMYFUNCTION("IMPORTRANGE(""https://docs.google.com/spreadsheets/d/1SX6NBoVAgQJ6U1MVXOaj8PK2l7WJ3RER9xtqwdhxkhw/edit?usp=sharing"",""ปทุมธานี!I126"")"),0)</f>
        <v>0</v>
      </c>
      <c r="J201" s="189">
        <f ca="1">IFERROR(__xludf.DUMMYFUNCTION("IMPORTRANGE(""https://docs.google.com/spreadsheets/d/1SX6NBoVAgQJ6U1MVXOaj8PK2l7WJ3RER9xtqwdhxkhw/edit?usp=sharing"",""ปทุมธานี!J126"")"),0)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IFERROR(__xludf.DUMMYFUNCTION("IMPORTRANGE(""https://docs.google.com/spreadsheets/d/1SX6NBoVAgQJ6U1MVXOaj8PK2l7WJ3RER9xtqwdhxkhw/edit?usp=sharing"",""ปทุมธานี!J127"")"),0)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IFERROR(__xludf.DUMMYFUNCTION("IMPORTRANGE(""https://docs.google.com/spreadsheets/d/1SX6NBoVAgQJ6U1MVXOaj8PK2l7WJ3RER9xtqwdhxkhw/edit?usp=sharing"",""ปทุมธานี!J128"")"),0)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IFERROR(__xludf.DUMMYFUNCTION("IMPORTRANGE(""https://docs.google.com/spreadsheets/d/1SX6NBoVAgQJ6U1MVXOaj8PK2l7WJ3RER9xtqwdhxkhw/edit?usp=sharing"",""ปทุมธานี!I129"")"),30)</f>
        <v>30</v>
      </c>
      <c r="J204" s="285">
        <f ca="1">IFERROR(__xludf.DUMMYFUNCTION("IMPORTRANGE(""https://docs.google.com/spreadsheets/d/1SX6NBoVAgQJ6U1MVXOaj8PK2l7WJ3RER9xtqwdhxkhw/edit?usp=sharing"",""ปทุมธานี!J129"")"),30)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IFERROR(__xludf.DUMMYFUNCTION("IMPORTRANGE(""https://docs.google.com/spreadsheets/d/1SX6NBoVAgQJ6U1MVXOaj8PK2l7WJ3RER9xtqwdhxkhw/edit?usp=sharing"",""ปทุมธานี!J134"")"),0)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IFERROR(__xludf.DUMMYFUNCTION("IMPORTRANGE(""https://docs.google.com/spreadsheets/d/1SX6NBoVAgQJ6U1MVXOaj8PK2l7WJ3RER9xtqwdhxkhw/edit?usp=sharing"",""ปทุมธานี!J135"")"),1)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IFERROR(__xludf.DUMMYFUNCTION("IMPORTRANGE(""https://docs.google.com/spreadsheets/d/1SX6NBoVAgQJ6U1MVXOaj8PK2l7WJ3RER9xtqwdhxkhw/edit?usp=sharing"",""ปทุมธานี!J136"")"),1)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IFERROR(__xludf.DUMMYFUNCTION("IMPORTRANGE(""https://docs.google.com/spreadsheets/d/1SX6NBoVAgQJ6U1MVXOaj8PK2l7WJ3RER9xtqwdhxkhw/edit?usp=sharing"",""ปทุมธานี!J137"")"),1)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IFERROR(__xludf.DUMMYFUNCTION("IMPORTRANGE(""https://docs.google.com/spreadsheets/d/1SX6NBoVAgQJ6U1MVXOaj8PK2l7WJ3RER9xtqwdhxkhw/edit?usp=sharing"",""ปทุมธานี!I138"")"),30)</f>
        <v>30</v>
      </c>
      <c r="J213" s="204">
        <f ca="1">IFERROR(__xludf.DUMMYFUNCTION("IMPORTRANGE(""https://docs.google.com/spreadsheets/d/1SX6NBoVAgQJ6U1MVXOaj8PK2l7WJ3RER9xtqwdhxkhw/edit?usp=sharing"",""ปทุมธานี!J138"")"),30)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IFERROR(__xludf.DUMMYFUNCTION("IMPORTRANGE(""https://docs.google.com/spreadsheets/d/1SX6NBoVAgQJ6U1MVXOaj8PK2l7WJ3RER9xtqwdhxkhw/edit?usp=sharing"",""ปทุมธานี!I140"")"),0)</f>
        <v>0</v>
      </c>
      <c r="J215" s="204">
        <f ca="1">IFERROR(__xludf.DUMMYFUNCTION("IMPORTRANGE(""https://docs.google.com/spreadsheets/d/1SX6NBoVAgQJ6U1MVXOaj8PK2l7WJ3RER9xtqwdhxkhw/edit?usp=sharing"",""ปทุมธานี!J140"")"),0)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IFERROR(__xludf.DUMMYFUNCTION("IMPORTRANGE(""https://docs.google.com/spreadsheets/d/1SX6NBoVAgQJ6U1MVXOaj8PK2l7WJ3RER9xtqwdhxkhw/edit?usp=sharing"",""ปทุมธานี!I141"")"),1)</f>
        <v>1</v>
      </c>
      <c r="J216" s="204">
        <f ca="1">IFERROR(__xludf.DUMMYFUNCTION("IMPORTRANGE(""https://docs.google.com/spreadsheets/d/1SX6NBoVAgQJ6U1MVXOaj8PK2l7WJ3RER9xtqwdhxkhw/edit?usp=sharing"",""ปทุมธานี!J141"")"),0)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IFERROR(__xludf.DUMMYFUNCTION("IMPORTRANGE(""https://docs.google.com/spreadsheets/d/1SX6NBoVAgQJ6U1MVXOaj8PK2l7WJ3RER9xtqwdhxkhw/edit?usp=sharing"",""ปทุมธานี!J142"")"),0)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IFERROR(__xludf.DUMMYFUNCTION("IMPORTRANGE(""https://docs.google.com/spreadsheets/d/1SX6NBoVAgQJ6U1MVXOaj8PK2l7WJ3RER9xtqwdhxkhw/edit?usp=sharing"",""ปทุมธานี!J143"")"),0)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IFERROR(__xludf.DUMMYFUNCTION("IMPORTRANGE(""https://docs.google.com/spreadsheets/d/1SX6NBoVAgQJ6U1MVXOaj8PK2l7WJ3RER9xtqwdhxkhw/edit?usp=sharing"",""ปทุมธานี!I144"")"),15)</f>
        <v>15</v>
      </c>
      <c r="J219" s="268">
        <f ca="1">IFERROR(__xludf.DUMMYFUNCTION("IMPORTRANGE(""https://docs.google.com/spreadsheets/d/1SX6NBoVAgQJ6U1MVXOaj8PK2l7WJ3RER9xtqwdhxkhw/edit?usp=sharing"",""ปทุมธานี!J144"")"),15)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IFERROR(__xludf.DUMMYFUNCTION("IMPORTRANGE(""https://docs.google.com/spreadsheets/d/1Yj_ptqi66GCucihVvJfMjLAmec39IyEx_6qawtMGysU/edit?usp=sharing"",""สบก!BS67"")"),21125)</f>
        <v>21125</v>
      </c>
      <c r="N224" s="169">
        <f ca="1">IFERROR(__xludf.DUMMYFUNCTION("IMPORTRANGE(""https://docs.google.com/spreadsheets/d/1Yj_ptqi66GCucihVvJfMjLAmec39IyEx_6qawtMGysU/edit?usp=sharing"",""สบก!BT67"")"),21125)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IFERROR(__xludf.DUMMYFUNCTION("IMPORTRANGE(""https://docs.google.com/spreadsheets/d/1Yj_ptqi66GCucihVvJfMjLAmec39IyEx_6qawtMGysU/edit?usp=sharing"",""สบก!BQ67"")"),0)</f>
        <v>0</v>
      </c>
      <c r="M228" s="49"/>
      <c r="N228" s="49">
        <f ca="1">IFERROR(__xludf.DUMMYFUNCTION("IMPORTRANGE(""https://docs.google.com/spreadsheets/d/1Yj_ptqi66GCucihVvJfMjLAmec39IyEx_6qawtMGysU/edit?usp=sharing"",""สบก!BU67"")"),0)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IFERROR(__xludf.DUMMYFUNCTION("IMPORTRANGE(""https://docs.google.com/spreadsheets/d/1SX6NBoVAgQJ6U1MVXOaj8PK2l7WJ3RER9xtqwdhxkhw/edit?usp=sharing"",""ปทุมธานี!I149"")"),15)</f>
        <v>15</v>
      </c>
      <c r="J229" s="268">
        <f ca="1">IFERROR(__xludf.DUMMYFUNCTION("IMPORTRANGE(""https://docs.google.com/spreadsheets/d/1SX6NBoVAgQJ6U1MVXOaj8PK2l7WJ3RER9xtqwdhxkhw/edit?usp=sharing"",""ปทุมธานี!J149"")"),15)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IFERROR(__xludf.DUMMYFUNCTION("IMPORTRANGE(""https://docs.google.com/spreadsheets/d/1SX6NBoVAgQJ6U1MVXOaj8PK2l7WJ3RER9xtqwdhxkhw/edit?usp=sharing"",""ปทุมธานี!J151"")"),0)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IFERROR(__xludf.DUMMYFUNCTION("IMPORTRANGE(""https://docs.google.com/spreadsheets/d/1SX6NBoVAgQJ6U1MVXOaj8PK2l7WJ3RER9xtqwdhxkhw/edit?usp=sharing"",""ปทุมธานี!J152"")"),1)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IFERROR(__xludf.DUMMYFUNCTION("IMPORTRANGE(""https://docs.google.com/spreadsheets/d/1SX6NBoVAgQJ6U1MVXOaj8PK2l7WJ3RER9xtqwdhxkhw/edit?usp=sharing"",""ปทุมธานี!J153"")"),1)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IFERROR(__xludf.DUMMYFUNCTION("IMPORTRANGE(""https://docs.google.com/spreadsheets/d/1SX6NBoVAgQJ6U1MVXOaj8PK2l7WJ3RER9xtqwdhxkhw/edit?usp=sharing"",""ปทุมธานี!J154"")"),1)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IFERROR(__xludf.DUMMYFUNCTION("IMPORTRANGE(""https://docs.google.com/spreadsheets/d/1SX6NBoVAgQJ6U1MVXOaj8PK2l7WJ3RER9xtqwdhxkhw/edit?usp=sharing"",""ปทุมธานี!I155"")"),15)</f>
        <v>15</v>
      </c>
      <c r="J235" s="189">
        <f ca="1">IFERROR(__xludf.DUMMYFUNCTION("IMPORTRANGE(""https://docs.google.com/spreadsheets/d/1SX6NBoVAgQJ6U1MVXOaj8PK2l7WJ3RER9xtqwdhxkhw/edit?usp=sharing"",""ปทุมธานี!J155"")"),15)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IFERROR(__xludf.DUMMYFUNCTION("IMPORTRANGE(""https://docs.google.com/spreadsheets/d/1SX6NBoVAgQJ6U1MVXOaj8PK2l7WJ3RER9xtqwdhxkhw/edit?usp=sharing"",""ปทุมธานี!J156"")"),0)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IFERROR(__xludf.DUMMYFUNCTION("IMPORTRANGE(""https://docs.google.com/spreadsheets/d/1SX6NBoVAgQJ6U1MVXOaj8PK2l7WJ3RER9xtqwdhxkhw/edit?usp=sharing"",""ปทุมธานี!J157"")"),0)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IFERROR(__xludf.DUMMYFUNCTION("IMPORTRANGE(""https://docs.google.com/spreadsheets/d/1SX6NBoVAgQJ6U1MVXOaj8PK2l7WJ3RER9xtqwdhxkhw/edit?usp=sharing"",""ปทุมธานี!I158"")"),0)</f>
        <v>0</v>
      </c>
      <c r="J238" s="268">
        <f ca="1">IFERROR(__xludf.DUMMYFUNCTION("IMPORTRANGE(""https://docs.google.com/spreadsheets/d/1SX6NBoVAgQJ6U1MVXOaj8PK2l7WJ3RER9xtqwdhxkhw/edit?usp=sharing"",""ปทุมธานี!J158"")"),0)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IFERROR(__xludf.DUMMYFUNCTION("IMPORTRANGE(""https://docs.google.com/spreadsheets/d/1SX6NBoVAgQJ6U1MVXOaj8PK2l7WJ3RER9xtqwdhxkhw/edit?usp=sharing"",""ปทุมธานี!J159"")"),"")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IFERROR(__xludf.DUMMYFUNCTION("IMPORTRANGE(""https://docs.google.com/spreadsheets/d/1SX6NBoVAgQJ6U1MVXOaj8PK2l7WJ3RER9xtqwdhxkhw/edit?usp=sharing"",""ปทุมธานี!J161"")"),0)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IFERROR(__xludf.DUMMYFUNCTION("IMPORTRANGE(""https://docs.google.com/spreadsheets/d/1SX6NBoVAgQJ6U1MVXOaj8PK2l7WJ3RER9xtqwdhxkhw/edit?usp=sharing"",""ปทุมธานี!J162"")"),0)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IFERROR(__xludf.DUMMYFUNCTION("IMPORTRANGE(""https://docs.google.com/spreadsheets/d/1SX6NBoVAgQJ6U1MVXOaj8PK2l7WJ3RER9xtqwdhxkhw/edit?usp=sharing"",""ปทุมธานี!J163"")"),0)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IFERROR(__xludf.DUMMYFUNCTION("IMPORTRANGE(""https://docs.google.com/spreadsheets/d/1SX6NBoVAgQJ6U1MVXOaj8PK2l7WJ3RER9xtqwdhxkhw/edit?usp=sharing"",""ปทุมธานี!I164"")"),0)</f>
        <v>0</v>
      </c>
      <c r="J244" s="188">
        <f ca="1">IFERROR(__xludf.DUMMYFUNCTION("IMPORTRANGE(""https://docs.google.com/spreadsheets/d/1SX6NBoVAgQJ6U1MVXOaj8PK2l7WJ3RER9xtqwdhxkhw/edit?usp=sharing"",""ปทุมธานี!J164"")"),0)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IFERROR(__xludf.DUMMYFUNCTION("IMPORTRANGE(""https://docs.google.com/spreadsheets/d/1SX6NBoVAgQJ6U1MVXOaj8PK2l7WJ3RER9xtqwdhxkhw/edit?usp=sharing"",""ปทุมธานี!J165"")"),0)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IFERROR(__xludf.DUMMYFUNCTION("IMPORTRANGE(""https://docs.google.com/spreadsheets/d/1SX6NBoVAgQJ6U1MVXOaj8PK2l7WJ3RER9xtqwdhxkhw/edit?usp=sharing"",""ปทุมธานี!J166"")"),0)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IFERROR(__xludf.DUMMYFUNCTION("IMPORTRANGE(""https://docs.google.com/spreadsheets/d/1SX6NBoVAgQJ6U1MVXOaj8PK2l7WJ3RER9xtqwdhxkhw/edit?usp=sharing"",""ปทุมธานี!I169"")"),0)</f>
        <v>0</v>
      </c>
      <c r="J249" s="317">
        <f ca="1">IFERROR(__xludf.DUMMYFUNCTION("IMPORTRANGE(""https://docs.google.com/spreadsheets/d/1SX6NBoVAgQJ6U1MVXOaj8PK2l7WJ3RER9xtqwdhxkhw/edit?usp=sharing"",""ปทุมธานี!J169"")"),0)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IFERROR(__xludf.DUMMYFUNCTION("IMPORTRANGE(""https://docs.google.com/spreadsheets/d/1Yj_ptqi66GCucihVvJfMjLAmec39IyEx_6qawtMGysU/edit?usp=sharing"",""สบก!CB67"")"),0)</f>
        <v>0</v>
      </c>
      <c r="N254" s="169">
        <f ca="1">IFERROR(__xludf.DUMMYFUNCTION("IMPORTRANGE(""https://docs.google.com/spreadsheets/d/1Yj_ptqi66GCucihVvJfMjLAmec39IyEx_6qawtMGysU/edit?usp=sharing"",""สบก!CC67"")"),0)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IFERROR(__xludf.DUMMYFUNCTION("IMPORTRANGE(""https://docs.google.com/spreadsheets/d/1Yj_ptqi66GCucihVvJfMjLAmec39IyEx_6qawtMGysU/edit?usp=sharing"",""สบก!BZ67"")"),0)</f>
        <v>0</v>
      </c>
      <c r="M258" s="49"/>
      <c r="N258" s="49">
        <f ca="1">IFERROR(__xludf.DUMMYFUNCTION("IMPORTRANGE(""https://docs.google.com/spreadsheets/d/1Yj_ptqi66GCucihVvJfMjLAmec39IyEx_6qawtMGysU/edit?usp=sharing"",""สบก!CD67"")"),0)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IFERROR(__xludf.DUMMYFUNCTION("IMPORTRANGE(""https://docs.google.com/spreadsheets/d/1SX6NBoVAgQJ6U1MVXOaj8PK2l7WJ3RER9xtqwdhxkhw/edit?usp=sharing"",""ปทุมธานี!J175"")"),0)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IFERROR(__xludf.DUMMYFUNCTION("IMPORTRANGE(""https://docs.google.com/spreadsheets/d/1SX6NBoVAgQJ6U1MVXOaj8PK2l7WJ3RER9xtqwdhxkhw/edit?usp=sharing"",""ปทุมธานี!J176"")"),0)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IFERROR(__xludf.DUMMYFUNCTION("IMPORTRANGE(""https://docs.google.com/spreadsheets/d/1SX6NBoVAgQJ6U1MVXOaj8PK2l7WJ3RER9xtqwdhxkhw/edit?usp=sharing"",""ปทุมธานี!J177"")"),0)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IFERROR(__xludf.DUMMYFUNCTION("IMPORTRANGE(""https://docs.google.com/spreadsheets/d/1SX6NBoVAgQJ6U1MVXOaj8PK2l7WJ3RER9xtqwdhxkhw/edit?usp=sharing"",""ปทุมธานี!J178"")"),0)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IFERROR(__xludf.DUMMYFUNCTION("IMPORTRANGE(""https://docs.google.com/spreadsheets/d/1SX6NBoVAgQJ6U1MVXOaj8PK2l7WJ3RER9xtqwdhxkhw/edit?usp=sharing"",""ปทุมธานี!I179"")"),0)</f>
        <v>0</v>
      </c>
      <c r="J264" s="189">
        <f ca="1">IFERROR(__xludf.DUMMYFUNCTION("IMPORTRANGE(""https://docs.google.com/spreadsheets/d/1SX6NBoVAgQJ6U1MVXOaj8PK2l7WJ3RER9xtqwdhxkhw/edit?usp=sharing"",""ปทุมธานี!J179"")"),0)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IFERROR(__xludf.DUMMYFUNCTION("IMPORTRANGE(""https://docs.google.com/spreadsheets/d/1SX6NBoVAgQJ6U1MVXOaj8PK2l7WJ3RER9xtqwdhxkhw/edit?usp=sharing"",""ปทุมธานี!I180"")"),0)</f>
        <v>0</v>
      </c>
      <c r="J265" s="189">
        <f ca="1">IFERROR(__xludf.DUMMYFUNCTION("IMPORTRANGE(""https://docs.google.com/spreadsheets/d/1SX6NBoVAgQJ6U1MVXOaj8PK2l7WJ3RER9xtqwdhxkhw/edit?usp=sharing"",""ปทุมธานี!J180"")"),0)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IFERROR(__xludf.DUMMYFUNCTION("IMPORTRANGE(""https://docs.google.com/spreadsheets/d/1SX6NBoVAgQJ6U1MVXOaj8PK2l7WJ3RER9xtqwdhxkhw/edit?usp=sharing"",""ปทุมธานี!I181"")"),0)</f>
        <v>0</v>
      </c>
      <c r="J266" s="189">
        <f ca="1">IFERROR(__xludf.DUMMYFUNCTION("IMPORTRANGE(""https://docs.google.com/spreadsheets/d/1SX6NBoVAgQJ6U1MVXOaj8PK2l7WJ3RER9xtqwdhxkhw/edit?usp=sharing"",""ปทุมธานี!J181"")"),0)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IFERROR(__xludf.DUMMYFUNCTION("IMPORTRANGE(""https://docs.google.com/spreadsheets/d/1SX6NBoVAgQJ6U1MVXOaj8PK2l7WJ3RER9xtqwdhxkhw/edit?usp=sharing"",""ปทุมธานี!I182"")"),0)</f>
        <v>0</v>
      </c>
      <c r="J267" s="189">
        <f ca="1">IFERROR(__xludf.DUMMYFUNCTION("IMPORTRANGE(""https://docs.google.com/spreadsheets/d/1SX6NBoVAgQJ6U1MVXOaj8PK2l7WJ3RER9xtqwdhxkhw/edit?usp=sharing"",""ปทุมธานี!J182"")"),0)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IFERROR(__xludf.DUMMYFUNCTION("IMPORTRANGE(""https://docs.google.com/spreadsheets/d/1SX6NBoVAgQJ6U1MVXOaj8PK2l7WJ3RER9xtqwdhxkhw/edit?usp=sharing"",""ปทุมธานี!J183"")"),0)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IFERROR(__xludf.DUMMYFUNCTION("IMPORTRANGE(""https://docs.google.com/spreadsheets/d/1SX6NBoVAgQJ6U1MVXOaj8PK2l7WJ3RER9xtqwdhxkhw/edit?usp=sharing"",""ปทุมธานี!J184"")"),0)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IFERROR(__xludf.DUMMYFUNCTION("IMPORTRANGE(""https://docs.google.com/spreadsheets/d/1SX6NBoVAgQJ6U1MVXOaj8PK2l7WJ3RER9xtqwdhxkhw/edit?usp=sharing"",""ปทุมธานี!I185"")"),15)</f>
        <v>15</v>
      </c>
      <c r="J270" s="317">
        <f ca="1">IFERROR(__xludf.DUMMYFUNCTION("IMPORTRANGE(""https://docs.google.com/spreadsheets/d/1SX6NBoVAgQJ6U1MVXOaj8PK2l7WJ3RER9xtqwdhxkhw/edit?usp=sharing"",""ปทุมธานี!J185"")"),15)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46720</v>
      </c>
      <c r="O271" s="151">
        <f t="shared" ref="O271:O273" ca="1" si="84">IF(L271&gt;0,N271*100/L271,0)</f>
        <v>84.637681159420296</v>
      </c>
      <c r="P271" s="151">
        <f t="shared" ref="P271:P273" ca="1" si="85">IF(M271&gt;0,N271*100/M271,0)</f>
        <v>84.637681159420296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46720</v>
      </c>
      <c r="O273" s="156">
        <f t="shared" ca="1" si="84"/>
        <v>84.637681159420296</v>
      </c>
      <c r="P273" s="156">
        <f t="shared" ca="1" si="85"/>
        <v>84.637681159420296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IFERROR(__xludf.DUMMYFUNCTION("IMPORTRANGE(""https://docs.google.com/spreadsheets/d/1Yj_ptqi66GCucihVvJfMjLAmec39IyEx_6qawtMGysU/edit?usp=sharing"",""สบก!CK67"")"),55200)</f>
        <v>55200</v>
      </c>
      <c r="N275" s="169">
        <f ca="1">IFERROR(__xludf.DUMMYFUNCTION("IMPORTRANGE(""https://docs.google.com/spreadsheets/d/1Yj_ptqi66GCucihVvJfMjLAmec39IyEx_6qawtMGysU/edit?usp=sharing"",""สบก!CL67"")"),46720)</f>
        <v>46720</v>
      </c>
      <c r="O275" s="169">
        <f ca="1">IF(L275&gt;0,N275*100/L275,0)</f>
        <v>84.637681159420296</v>
      </c>
      <c r="P275" s="169">
        <f ca="1">IF(M275&gt;0,N275*100/M275,0)</f>
        <v>84.637681159420296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IFERROR(__xludf.DUMMYFUNCTION("IMPORTRANGE(""https://docs.google.com/spreadsheets/d/1Yj_ptqi66GCucihVvJfMjLAmec39IyEx_6qawtMGysU/edit?usp=sharing"",""สบก!CI67"")"),0)</f>
        <v>0</v>
      </c>
      <c r="M279" s="49"/>
      <c r="N279" s="49">
        <f ca="1">IFERROR(__xludf.DUMMYFUNCTION("IMPORTRANGE(""https://docs.google.com/spreadsheets/d/1Yj_ptqi66GCucihVvJfMjLAmec39IyEx_6qawtMGysU/edit?usp=sharing"",""สบก!CM67"")"),0)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IFERROR(__xludf.DUMMYFUNCTION("IMPORTRANGE(""https://docs.google.com/spreadsheets/d/1SX6NBoVAgQJ6U1MVXOaj8PK2l7WJ3RER9xtqwdhxkhw/edit?usp=sharing"",""ปทุมธานี!J191"")"),0)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IFERROR(__xludf.DUMMYFUNCTION("IMPORTRANGE(""https://docs.google.com/spreadsheets/d/1SX6NBoVAgQJ6U1MVXOaj8PK2l7WJ3RER9xtqwdhxkhw/edit?usp=sharing"",""ปทุมธานี!J192"")"),1)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IFERROR(__xludf.DUMMYFUNCTION("IMPORTRANGE(""https://docs.google.com/spreadsheets/d/1SX6NBoVAgQJ6U1MVXOaj8PK2l7WJ3RER9xtqwdhxkhw/edit?usp=sharing"",""ปทุมธานี!J193"")"),1)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IFERROR(__xludf.DUMMYFUNCTION("IMPORTRANGE(""https://docs.google.com/spreadsheets/d/1SX6NBoVAgQJ6U1MVXOaj8PK2l7WJ3RER9xtqwdhxkhw/edit?usp=sharing"",""ปทุมธานี!J194"")"),1)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IFERROR(__xludf.DUMMYFUNCTION("IMPORTRANGE(""https://docs.google.com/spreadsheets/d/1SX6NBoVAgQJ6U1MVXOaj8PK2l7WJ3RER9xtqwdhxkhw/edit?usp=sharing"",""ปทุมธานี!I195"")"),15)</f>
        <v>15</v>
      </c>
      <c r="J285" s="189">
        <f ca="1">IFERROR(__xludf.DUMMYFUNCTION("IMPORTRANGE(""https://docs.google.com/spreadsheets/d/1SX6NBoVAgQJ6U1MVXOaj8PK2l7WJ3RER9xtqwdhxkhw/edit?usp=sharing"",""ปทุมธานี!J195"")"),15)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IFERROR(__xludf.DUMMYFUNCTION("IMPORTRANGE(""https://docs.google.com/spreadsheets/d/1SX6NBoVAgQJ6U1MVXOaj8PK2l7WJ3RER9xtqwdhxkhw/edit?usp=sharing"",""ปทุมธานี!J196"")"),0)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IFERROR(__xludf.DUMMYFUNCTION("IMPORTRANGE(""https://docs.google.com/spreadsheets/d/1SX6NBoVAgQJ6U1MVXOaj8PK2l7WJ3RER9xtqwdhxkhw/edit?usp=sharing"",""ปทุมธานี!J197"")"),0)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IFERROR(__xludf.DUMMYFUNCTION("IMPORTRANGE(""https://docs.google.com/spreadsheets/d/1SX6NBoVAgQJ6U1MVXOaj8PK2l7WJ3RER9xtqwdhxkhw/edit?usp=sharing"",""ปทุมธานี!I199"")"),0)</f>
        <v>0</v>
      </c>
      <c r="J289" s="317">
        <f ca="1">IFERROR(__xludf.DUMMYFUNCTION("IMPORTRANGE(""https://docs.google.com/spreadsheets/d/1SX6NBoVAgQJ6U1MVXOaj8PK2l7WJ3RER9xtqwdhxkhw/edit?usp=sharing"",""ปทุมธานี!J199"")"),0)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IFERROR(__xludf.DUMMYFUNCTION("IMPORTRANGE(""https://docs.google.com/spreadsheets/d/1Yj_ptqi66GCucihVvJfMjLAmec39IyEx_6qawtMGysU/edit?usp=sharing"",""สบก!CT67"")"),0)</f>
        <v>0</v>
      </c>
      <c r="N294" s="169">
        <f ca="1">IFERROR(__xludf.DUMMYFUNCTION("IMPORTRANGE(""https://docs.google.com/spreadsheets/d/1Yj_ptqi66GCucihVvJfMjLAmec39IyEx_6qawtMGysU/edit?usp=sharing"",""สบก!CU67"")"),0)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IFERROR(__xludf.DUMMYFUNCTION("IMPORTRANGE(""https://docs.google.com/spreadsheets/d/1Yj_ptqi66GCucihVvJfMjLAmec39IyEx_6qawtMGysU/edit?usp=sharing"",""สบก!CR67"")"),0)</f>
        <v>0</v>
      </c>
      <c r="M298" s="49"/>
      <c r="N298" s="49">
        <f ca="1">IFERROR(__xludf.DUMMYFUNCTION("IMPORTRANGE(""https://docs.google.com/spreadsheets/d/1Yj_ptqi66GCucihVvJfMjLAmec39IyEx_6qawtMGysU/edit?usp=sharing"",""สบก!CV67"")"),0)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IFERROR(__xludf.DUMMYFUNCTION("IMPORTRANGE(""https://docs.google.com/spreadsheets/d/1SX6NBoVAgQJ6U1MVXOaj8PK2l7WJ3RER9xtqwdhxkhw/edit?usp=sharing"",""ปทุมธานี!J205"")"),0)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IFERROR(__xludf.DUMMYFUNCTION("IMPORTRANGE(""https://docs.google.com/spreadsheets/d/1SX6NBoVAgQJ6U1MVXOaj8PK2l7WJ3RER9xtqwdhxkhw/edit?usp=sharing"",""ปทุมธานี!J206"")"),0)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IFERROR(__xludf.DUMMYFUNCTION("IMPORTRANGE(""https://docs.google.com/spreadsheets/d/1SX6NBoVAgQJ6U1MVXOaj8PK2l7WJ3RER9xtqwdhxkhw/edit?usp=sharing"",""ปทุมธานี!J207"")"),0)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IFERROR(__xludf.DUMMYFUNCTION("IMPORTRANGE(""https://docs.google.com/spreadsheets/d/1SX6NBoVAgQJ6U1MVXOaj8PK2l7WJ3RER9xtqwdhxkhw/edit?usp=sharing"",""ปทุมธานี!J208"")"),0)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IFERROR(__xludf.DUMMYFUNCTION("IMPORTRANGE(""https://docs.google.com/spreadsheets/d/1SX6NBoVAgQJ6U1MVXOaj8PK2l7WJ3RER9xtqwdhxkhw/edit?usp=sharing"",""ปทุมธานี!I209"")"),0)</f>
        <v>0</v>
      </c>
      <c r="J304" s="204">
        <f ca="1">IFERROR(__xludf.DUMMYFUNCTION("IMPORTRANGE(""https://docs.google.com/spreadsheets/d/1SX6NBoVAgQJ6U1MVXOaj8PK2l7WJ3RER9xtqwdhxkhw/edit?usp=sharing"",""ปทุมธานี!J209"")"),0)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IFERROR(__xludf.DUMMYFUNCTION("IMPORTRANGE(""https://docs.google.com/spreadsheets/d/1SX6NBoVAgQJ6U1MVXOaj8PK2l7WJ3RER9xtqwdhxkhw/edit?usp=sharing"",""ปทุมธานี!I211"")"),0)</f>
        <v>0</v>
      </c>
      <c r="J306" s="204">
        <f ca="1">IFERROR(__xludf.DUMMYFUNCTION("IMPORTRANGE(""https://docs.google.com/spreadsheets/d/1SX6NBoVAgQJ6U1MVXOaj8PK2l7WJ3RER9xtqwdhxkhw/edit?usp=sharing"",""ปทุมธานี!J211"")"),0)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IFERROR(__xludf.DUMMYFUNCTION("IMPORTRANGE(""https://docs.google.com/spreadsheets/d/1SX6NBoVAgQJ6U1MVXOaj8PK2l7WJ3RER9xtqwdhxkhw/edit?usp=sharing"",""ปทุมธานี!J212"")"),0)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IFERROR(__xludf.DUMMYFUNCTION("IMPORTRANGE(""https://docs.google.com/spreadsheets/d/1SX6NBoVAgQJ6U1MVXOaj8PK2l7WJ3RER9xtqwdhxkhw/edit?usp=sharing"",""ปทุมธานี!J213"")"),0)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IFERROR(__xludf.DUMMYFUNCTION("IMPORTRANGE(""https://docs.google.com/spreadsheets/d/1SX6NBoVAgQJ6U1MVXOaj8PK2l7WJ3RER9xtqwdhxkhw/edit?usp=sharing"",""ปทุมธานี!I214"")"),0)</f>
        <v>0</v>
      </c>
      <c r="J309" s="334">
        <f ca="1">IFERROR(__xludf.DUMMYFUNCTION("IMPORTRANGE(""https://docs.google.com/spreadsheets/d/1SX6NBoVAgQJ6U1MVXOaj8PK2l7WJ3RER9xtqwdhxkhw/edit?usp=sharing"",""ปทุมธานี!J214"")"),0)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IFERROR(__xludf.DUMMYFUNCTION("IMPORTRANGE(""https://docs.google.com/spreadsheets/d/1Yj_ptqi66GCucihVvJfMjLAmec39IyEx_6qawtMGysU/edit?usp=sharing"",""สบก!DC67"")"),0)</f>
        <v>0</v>
      </c>
      <c r="N314" s="169">
        <f ca="1">IFERROR(__xludf.DUMMYFUNCTION("IMPORTRANGE(""https://docs.google.com/spreadsheets/d/1Yj_ptqi66GCucihVvJfMjLAmec39IyEx_6qawtMGysU/edit?usp=sharing"",""สบก!DD67"")"),0)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IFERROR(__xludf.DUMMYFUNCTION("IMPORTRANGE(""https://docs.google.com/spreadsheets/d/1Yj_ptqi66GCucihVvJfMjLAmec39IyEx_6qawtMGysU/edit?usp=sharing"",""สบก!DA67"")"),0)</f>
        <v>0</v>
      </c>
      <c r="M318" s="49"/>
      <c r="N318" s="49">
        <f ca="1">IFERROR(__xludf.DUMMYFUNCTION("IMPORTRANGE(""https://docs.google.com/spreadsheets/d/1Yj_ptqi66GCucihVvJfMjLAmec39IyEx_6qawtMGysU/edit?usp=sharing"",""สบก!DE67"")"),0)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IFERROR(__xludf.DUMMYFUNCTION("IMPORTRANGE(""https://docs.google.com/spreadsheets/d/1SX6NBoVAgQJ6U1MVXOaj8PK2l7WJ3RER9xtqwdhxkhw/edit?usp=sharing"",""ปทุมธานี!J220"")"),0)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IFERROR(__xludf.DUMMYFUNCTION("IMPORTRANGE(""https://docs.google.com/spreadsheets/d/1SX6NBoVAgQJ6U1MVXOaj8PK2l7WJ3RER9xtqwdhxkhw/edit?usp=sharing"",""ปทุมธานี!J221"")"),0)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IFERROR(__xludf.DUMMYFUNCTION("IMPORTRANGE(""https://docs.google.com/spreadsheets/d/1SX6NBoVAgQJ6U1MVXOaj8PK2l7WJ3RER9xtqwdhxkhw/edit?usp=sharing"",""ปทุมธานี!J222"")"),0)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IFERROR(__xludf.DUMMYFUNCTION("IMPORTRANGE(""https://docs.google.com/spreadsheets/d/1SX6NBoVAgQJ6U1MVXOaj8PK2l7WJ3RER9xtqwdhxkhw/edit?usp=sharing"",""ปทุมธานี!J223"")"),0)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IFERROR(__xludf.DUMMYFUNCTION("IMPORTRANGE(""https://docs.google.com/spreadsheets/d/1SX6NBoVAgQJ6U1MVXOaj8PK2l7WJ3RER9xtqwdhxkhw/edit?usp=sharing"",""ปทุมธานี!I224"")"),0)</f>
        <v>0</v>
      </c>
      <c r="J324" s="204">
        <f ca="1">IFERROR(__xludf.DUMMYFUNCTION("IMPORTRANGE(""https://docs.google.com/spreadsheets/d/1SX6NBoVAgQJ6U1MVXOaj8PK2l7WJ3RER9xtqwdhxkhw/edit?usp=sharing"",""ปทุมธานี!J224"")"),0)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IFERROR(__xludf.DUMMYFUNCTION("IMPORTRANGE(""https://docs.google.com/spreadsheets/d/1SX6NBoVAgQJ6U1MVXOaj8PK2l7WJ3RER9xtqwdhxkhw/edit?usp=sharing"",""ปทุมธานี!J225"")"),0)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IFERROR(__xludf.DUMMYFUNCTION("IMPORTRANGE(""https://docs.google.com/spreadsheets/d/1SX6NBoVAgQJ6U1MVXOaj8PK2l7WJ3RER9xtqwdhxkhw/edit?usp=sharing"",""ปทุมธานี!J226"")"),0)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IFERROR(__xludf.DUMMYFUNCTION("IMPORTRANGE(""https://docs.google.com/spreadsheets/d/1SX6NBoVAgQJ6U1MVXOaj8PK2l7WJ3RER9xtqwdhxkhw/edit?usp=sharing"",""ปทุมธานี!I228"")"),0)</f>
        <v>0</v>
      </c>
      <c r="J328" s="340">
        <f ca="1">IFERROR(__xludf.DUMMYFUNCTION("IMPORTRANGE(""https://docs.google.com/spreadsheets/d/1SX6NBoVAgQJ6U1MVXOaj8PK2l7WJ3RER9xtqwdhxkhw/edit?usp=sharing"",""ปทุมธานี!J228"")"),0)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570980</v>
      </c>
      <c r="M329" s="152">
        <f t="shared" ca="1" si="98"/>
        <v>605980</v>
      </c>
      <c r="N329" s="152">
        <f t="shared" ca="1" si="98"/>
        <v>359154.67</v>
      </c>
      <c r="O329" s="151">
        <f t="shared" ref="O329:O331" ca="1" si="99">IF(L329&gt;0,N329*100/L329,0)</f>
        <v>62.901444884234124</v>
      </c>
      <c r="P329" s="151">
        <f t="shared" ref="P329:P331" ca="1" si="100">IF(M329&gt;0,N329*100/M329,0)</f>
        <v>59.268403247631937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570980</v>
      </c>
      <c r="M331" s="157">
        <f t="shared" ca="1" si="102"/>
        <v>605980</v>
      </c>
      <c r="N331" s="157">
        <f t="shared" ca="1" si="102"/>
        <v>359154.67</v>
      </c>
      <c r="O331" s="156">
        <f t="shared" ca="1" si="99"/>
        <v>62.901444884234124</v>
      </c>
      <c r="P331" s="156">
        <f t="shared" ca="1" si="100"/>
        <v>59.268403247631937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570980</v>
      </c>
      <c r="M333" s="168">
        <f ca="1">IFERROR(__xludf.DUMMYFUNCTION("IMPORTRANGE(""https://docs.google.com/spreadsheets/d/1Yj_ptqi66GCucihVvJfMjLAmec39IyEx_6qawtMGysU/edit?usp=sharing"",""สบก!DL67"")"),605980)</f>
        <v>605980</v>
      </c>
      <c r="N333" s="169">
        <f ca="1">IFERROR(__xludf.DUMMYFUNCTION("IMPORTRANGE(""https://docs.google.com/spreadsheets/d/1Yj_ptqi66GCucihVvJfMjLAmec39IyEx_6qawtMGysU/edit?usp=sharing"",""สบก!DM67"")"),359154.67)</f>
        <v>359154.67</v>
      </c>
      <c r="O333" s="169">
        <f ca="1">IF(L333&gt;0,N333*100/L333,0)</f>
        <v>62.901444884234124</v>
      </c>
      <c r="P333" s="169">
        <f ca="1">IF(M333&gt;0,N333*100/M333,0)</f>
        <v>59.268403247631937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IFERROR(__xludf.DUMMYFUNCTION("IMPORTRANGE(""https://docs.google.com/spreadsheets/d/1Yj_ptqi66GCucihVvJfMjLAmec39IyEx_6qawtMGysU/edit?usp=sharing"",""สบก!DH67"")"),388800)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IFERROR(__xludf.DUMMYFUNCTION("IMPORTRANGE(""https://docs.google.com/spreadsheets/d/1Yj_ptqi66GCucihVvJfMjLAmec39IyEx_6qawtMGysU/edit?usp=sharing"",""สบก!DI67"")"),182180)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IFERROR(__xludf.DUMMYFUNCTION("IMPORTRANGE(""https://docs.google.com/spreadsheets/d/1Yj_ptqi66GCucihVvJfMjLAmec39IyEx_6qawtMGysU/edit?usp=sharing"",""สบก!DJ67"")"),0)</f>
        <v>0</v>
      </c>
      <c r="M337" s="49"/>
      <c r="N337" s="49">
        <f ca="1">IFERROR(__xludf.DUMMYFUNCTION("IMPORTRANGE(""https://docs.google.com/spreadsheets/d/1Yj_ptqi66GCucihVvJfMjLAmec39IyEx_6qawtMGysU/edit?usp=sharing"",""สบก!DN67"")"),0)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IFERROR(__xludf.DUMMYFUNCTION("IMPORTRANGE(""https://docs.google.com/spreadsheets/d/1SX6NBoVAgQJ6U1MVXOaj8PK2l7WJ3RER9xtqwdhxkhw/edit?usp=sharing"",""ปทุมธานี!I234"")"),0)</f>
        <v>0</v>
      </c>
      <c r="J339" s="188">
        <f ca="1">IFERROR(__xludf.DUMMYFUNCTION("IMPORTRANGE(""https://docs.google.com/spreadsheets/d/1SX6NBoVAgQJ6U1MVXOaj8PK2l7WJ3RER9xtqwdhxkhw/edit?usp=sharing"",""ปทุมธานี!J234"")"),0)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IFERROR(__xludf.DUMMYFUNCTION("IMPORTRANGE(""https://docs.google.com/spreadsheets/d/1SX6NBoVAgQJ6U1MVXOaj8PK2l7WJ3RER9xtqwdhxkhw/edit?usp=sharing"",""ปทุมธานี!I235"")"),0)</f>
        <v>0</v>
      </c>
      <c r="J340" s="188">
        <f ca="1">IFERROR(__xludf.DUMMYFUNCTION("IMPORTRANGE(""https://docs.google.com/spreadsheets/d/1SX6NBoVAgQJ6U1MVXOaj8PK2l7WJ3RER9xtqwdhxkhw/edit?usp=sharing"",""ปทุมธานี!J235"")"),0)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IFERROR(__xludf.DUMMYFUNCTION("IMPORTRANGE(""https://docs.google.com/spreadsheets/d/1SX6NBoVAgQJ6U1MVXOaj8PK2l7WJ3RER9xtqwdhxkhw/edit?usp=sharing"",""ปทุมธานี!I236"")"),0)</f>
        <v>0</v>
      </c>
      <c r="J341" s="188">
        <f ca="1">IFERROR(__xludf.DUMMYFUNCTION("IMPORTRANGE(""https://docs.google.com/spreadsheets/d/1SX6NBoVAgQJ6U1MVXOaj8PK2l7WJ3RER9xtqwdhxkhw/edit?usp=sharing"",""ปทุมธานี!J236"")"),0)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IFERROR(__xludf.DUMMYFUNCTION("IMPORTRANGE(""https://docs.google.com/spreadsheets/d/1SX6NBoVAgQJ6U1MVXOaj8PK2l7WJ3RER9xtqwdhxkhw/edit?usp=sharing"",""ปทุมธานี!I237"")"),0)</f>
        <v>0</v>
      </c>
      <c r="J342" s="188">
        <f ca="1">IFERROR(__xludf.DUMMYFUNCTION("IMPORTRANGE(""https://docs.google.com/spreadsheets/d/1SX6NBoVAgQJ6U1MVXOaj8PK2l7WJ3RER9xtqwdhxkhw/edit?usp=sharing"",""ปทุมธานี!J237"")"),0)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IFERROR(__xludf.DUMMYFUNCTION("IMPORTRANGE(""https://docs.google.com/spreadsheets/d/1SX6NBoVAgQJ6U1MVXOaj8PK2l7WJ3RER9xtqwdhxkhw/edit?usp=sharing"",""ปทุมธานี!I238"")"),0)</f>
        <v>0</v>
      </c>
      <c r="J343" s="188">
        <f ca="1">IFERROR(__xludf.DUMMYFUNCTION("IMPORTRANGE(""https://docs.google.com/spreadsheets/d/1SX6NBoVAgQJ6U1MVXOaj8PK2l7WJ3RER9xtqwdhxkhw/edit?usp=sharing"",""ปทุมธานี!J238"")"),0)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IFERROR(__xludf.DUMMYFUNCTION("IMPORTRANGE(""https://docs.google.com/spreadsheets/d/1SX6NBoVAgQJ6U1MVXOaj8PK2l7WJ3RER9xtqwdhxkhw/edit?usp=sharing"",""ปทุมธานี!I239"")"),0)</f>
        <v>0</v>
      </c>
      <c r="J344" s="188">
        <f ca="1">IFERROR(__xludf.DUMMYFUNCTION("IMPORTRANGE(""https://docs.google.com/spreadsheets/d/1SX6NBoVAgQJ6U1MVXOaj8PK2l7WJ3RER9xtqwdhxkhw/edit?usp=sharing"",""ปทุมธานี!J239"")"),0)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IFERROR(__xludf.DUMMYFUNCTION("IMPORTRANGE(""https://docs.google.com/spreadsheets/d/1SX6NBoVAgQJ6U1MVXOaj8PK2l7WJ3RER9xtqwdhxkhw/edit?usp=sharing"",""ปทุมธานี!I240"")"),0)</f>
        <v>0</v>
      </c>
      <c r="J345" s="188">
        <f ca="1">IFERROR(__xludf.DUMMYFUNCTION("IMPORTRANGE(""https://docs.google.com/spreadsheets/d/1SX6NBoVAgQJ6U1MVXOaj8PK2l7WJ3RER9xtqwdhxkhw/edit?usp=sharing"",""ปทุมธานี!J240"")"),0)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IFERROR(__xludf.DUMMYFUNCTION("IMPORTRANGE(""https://docs.google.com/spreadsheets/d/1SX6NBoVAgQJ6U1MVXOaj8PK2l7WJ3RER9xtqwdhxkhw/edit?usp=sharing"",""ปทุมธานี!I241"")"),0)</f>
        <v>0</v>
      </c>
      <c r="J346" s="188">
        <f ca="1">IFERROR(__xludf.DUMMYFUNCTION("IMPORTRANGE(""https://docs.google.com/spreadsheets/d/1SX6NBoVAgQJ6U1MVXOaj8PK2l7WJ3RER9xtqwdhxkhw/edit?usp=sharing"",""ปทุมธานี!J241"")"),0)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IFERROR(__xludf.DUMMYFUNCTION("IMPORTRANGE(""https://docs.google.com/spreadsheets/d/1SX6NBoVAgQJ6U1MVXOaj8PK2l7WJ3RER9xtqwdhxkhw/edit?usp=sharing"",""ปทุมธานี!L242"")"),565890)</f>
        <v>565890</v>
      </c>
      <c r="M347" s="358"/>
      <c r="N347" s="358">
        <f ca="1">IFERROR(__xludf.DUMMYFUNCTION("IMPORTRANGE(""https://docs.google.com/spreadsheets/d/1SX6NBoVAgQJ6U1MVXOaj8PK2l7WJ3RER9xtqwdhxkhw/edit?usp=sharing"",""ปทุมธานี!M242"")"),430233.03)</f>
        <v>430233.03</v>
      </c>
      <c r="O347" s="358">
        <f ca="1">+IF(L347&gt;0,N347*100/L347,0)</f>
        <v>76.027678524094782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IFERROR(__xludf.DUMMYFUNCTION("IMPORTRANGE(""https://docs.google.com/spreadsheets/d/1SX6NBoVAgQJ6U1MVXOaj8PK2l7WJ3RER9xtqwdhxkhw/edit?usp=sharing"",""ปทุมธานี!I244"")"),12)</f>
        <v>12</v>
      </c>
      <c r="J349" s="371">
        <f ca="1">IFERROR(__xludf.DUMMYFUNCTION("IMPORTRANGE(""https://docs.google.com/spreadsheets/d/1SX6NBoVAgQJ6U1MVXOaj8PK2l7WJ3RER9xtqwdhxkhw/edit?usp=sharing"",""ปทุมธานี!J244"")"),12)</f>
        <v>12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IFERROR(__xludf.DUMMYFUNCTION("IMPORTRANGE(""https://docs.google.com/spreadsheets/d/1SX6NBoVAgQJ6U1MVXOaj8PK2l7WJ3RER9xtqwdhxkhw/edit?usp=sharing"",""ปทุมธานี!L244"")"),47160)</f>
        <v>47160</v>
      </c>
      <c r="M349" s="373"/>
      <c r="N349" s="373">
        <f ca="1">IFERROR(__xludf.DUMMYFUNCTION("IMPORTRANGE(""https://docs.google.com/spreadsheets/d/1SX6NBoVAgQJ6U1MVXOaj8PK2l7WJ3RER9xtqwdhxkhw/edit?usp=sharing"",""ปทุมธานี!M244"")"),39660.01)</f>
        <v>39660.01</v>
      </c>
      <c r="O349" s="373">
        <f ca="1">+IF(L349&gt;0,N349*100/L349,0)</f>
        <v>84.096713316369801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IFERROR(__xludf.DUMMYFUNCTION("IMPORTRANGE(""https://docs.google.com/spreadsheets/d/1SX6NBoVAgQJ6U1MVXOaj8PK2l7WJ3RER9xtqwdhxkhw/edit?usp=sharing"",""ปทุมธานี!I245"")"),6)</f>
        <v>6</v>
      </c>
      <c r="J350" s="371">
        <f ca="1">IFERROR(__xludf.DUMMYFUNCTION("IMPORTRANGE(""https://docs.google.com/spreadsheets/d/1SX6NBoVAgQJ6U1MVXOaj8PK2l7WJ3RER9xtqwdhxkhw/edit?usp=sharing"",""ปทุมธานี!J245"")"),6)</f>
        <v>6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IFERROR(__xludf.DUMMYFUNCTION("IMPORTRANGE(""https://docs.google.com/spreadsheets/d/1SX6NBoVAgQJ6U1MVXOaj8PK2l7WJ3RER9xtqwdhxkhw/edit?usp=sharing"",""ปทุมธานี!L246"")"),0)</f>
        <v>0</v>
      </c>
      <c r="M351" s="164"/>
      <c r="N351" s="164">
        <f ca="1">IFERROR(__xludf.DUMMYFUNCTION("IMPORTRANGE(""https://docs.google.com/spreadsheets/d/1SX6NBoVAgQJ6U1MVXOaj8PK2l7WJ3RER9xtqwdhxkhw/edit?usp=sharing"",""ปทุมธานี!M246"")"),0)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IFERROR(__xludf.DUMMYFUNCTION("IMPORTRANGE(""https://docs.google.com/spreadsheets/d/1SX6NBoVAgQJ6U1MVXOaj8PK2l7WJ3RER9xtqwdhxkhw/edit?usp=sharing"",""ปทุมธานี!L247"")"),47160)</f>
        <v>47160</v>
      </c>
      <c r="M352" s="165"/>
      <c r="N352" s="164">
        <f ca="1">IFERROR(__xludf.DUMMYFUNCTION("IMPORTRANGE(""https://docs.google.com/spreadsheets/d/1SX6NBoVAgQJ6U1MVXOaj8PK2l7WJ3RER9xtqwdhxkhw/edit?usp=sharing"",""ปทุมธานี!M247"")"),39660.01)</f>
        <v>39660.01</v>
      </c>
      <c r="O352" s="165">
        <f t="shared" ca="1" si="105"/>
        <v>84.096713316369801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IFERROR(__xludf.DUMMYFUNCTION("IMPORTRANGE(""https://docs.google.com/spreadsheets/d/1SX6NBoVAgQJ6U1MVXOaj8PK2l7WJ3RER9xtqwdhxkhw/edit?usp=sharing"",""ปทุมธานี!L248"")"),0)</f>
        <v>0</v>
      </c>
      <c r="M353" s="169"/>
      <c r="N353" s="169">
        <f ca="1">IFERROR(__xludf.DUMMYFUNCTION("IMPORTRANGE(""https://docs.google.com/spreadsheets/d/1SX6NBoVAgQJ6U1MVXOaj8PK2l7WJ3RER9xtqwdhxkhw/edit?usp=sharing"",""ปทุมธานี!M248"")"),0)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IFERROR(__xludf.DUMMYFUNCTION("IMPORTRANGE(""https://docs.google.com/spreadsheets/d/1SX6NBoVAgQJ6U1MVXOaj8PK2l7WJ3RER9xtqwdhxkhw/edit?usp=sharing"",""ปทุมธานี!L249"")"),47160)</f>
        <v>47160</v>
      </c>
      <c r="M354" s="169"/>
      <c r="N354" s="168">
        <f ca="1">IFERROR(__xludf.DUMMYFUNCTION("IMPORTRANGE(""https://docs.google.com/spreadsheets/d/1SX6NBoVAgQJ6U1MVXOaj8PK2l7WJ3RER9xtqwdhxkhw/edit?usp=sharing"",""ปทุมธานี!M249"")"),39660.01)</f>
        <v>39660.01</v>
      </c>
      <c r="O354" s="169">
        <f t="shared" ca="1" si="105"/>
        <v>84.096713316369801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IFERROR(__xludf.DUMMYFUNCTION("IMPORTRANGE(""https://docs.google.com/spreadsheets/d/1SX6NBoVAgQJ6U1MVXOaj8PK2l7WJ3RER9xtqwdhxkhw/edit?usp=sharing"",""ปทุมธานี!M250"")"),12760.01)</f>
        <v>12760.01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IFERROR(__xludf.DUMMYFUNCTION("IMPORTRANGE(""https://docs.google.com/spreadsheets/d/1SX6NBoVAgQJ6U1MVXOaj8PK2l7WJ3RER9xtqwdhxkhw/edit?usp=sharing"",""ปทุมธานี!M251"")"),17000)</f>
        <v>17000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IFERROR(__xludf.DUMMYFUNCTION("IMPORTRANGE(""https://docs.google.com/spreadsheets/d/1SX6NBoVAgQJ6U1MVXOaj8PK2l7WJ3RER9xtqwdhxkhw/edit?usp=sharing"",""ปทุมธานี!M252"")"),0)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IFERROR(__xludf.DUMMYFUNCTION("IMPORTRANGE(""https://docs.google.com/spreadsheets/d/1SX6NBoVAgQJ6U1MVXOaj8PK2l7WJ3RER9xtqwdhxkhw/edit?usp=sharing"",""ปทุมธานี!M253"")"),9900)</f>
        <v>9900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IFERROR(__xludf.DUMMYFUNCTION("IMPORTRANGE(""https://docs.google.com/spreadsheets/d/1SX6NBoVAgQJ6U1MVXOaj8PK2l7WJ3RER9xtqwdhxkhw/edit?usp=sharing"",""ปทุมธานี!J255"")"),0)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IFERROR(__xludf.DUMMYFUNCTION("IMPORTRANGE(""https://docs.google.com/spreadsheets/d/1SX6NBoVAgQJ6U1MVXOaj8PK2l7WJ3RER9xtqwdhxkhw/edit?usp=sharing"",""ปทุมธานี!J256"")"),1)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IFERROR(__xludf.DUMMYFUNCTION("IMPORTRANGE(""https://docs.google.com/spreadsheets/d/1SX6NBoVAgQJ6U1MVXOaj8PK2l7WJ3RER9xtqwdhxkhw/edit?usp=sharing"",""ปทุมธานี!J257"")"),1)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IFERROR(__xludf.DUMMYFUNCTION("IMPORTRANGE(""https://docs.google.com/spreadsheets/d/1SX6NBoVAgQJ6U1MVXOaj8PK2l7WJ3RER9xtqwdhxkhw/edit?usp=sharing"",""ปทุมธานี!J258"")"),1)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IFERROR(__xludf.DUMMYFUNCTION("IMPORTRANGE(""https://docs.google.com/spreadsheets/d/1SX6NBoVAgQJ6U1MVXOaj8PK2l7WJ3RER9xtqwdhxkhw/edit?usp=sharing"",""ปทุมธานี!J166"")"),0)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IFERROR(__xludf.DUMMYFUNCTION("IMPORTRANGE(""https://docs.google.com/spreadsheets/d/1SX6NBoVAgQJ6U1MVXOaj8PK2l7WJ3RER9xtqwdhxkhw/edit?usp=sharing"",""ปทุมธานี!J166"")"),0)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IFERROR(__xludf.DUMMYFUNCTION("IMPORTRANGE(""https://docs.google.com/spreadsheets/d/1SX6NBoVAgQJ6U1MVXOaj8PK2l7WJ3RER9xtqwdhxkhw/edit?usp=sharing"",""ปทุมธานี!J166"")"),0)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IFERROR(__xludf.DUMMYFUNCTION("IMPORTRANGE(""https://docs.google.com/spreadsheets/d/1SX6NBoVAgQJ6U1MVXOaj8PK2l7WJ3RER9xtqwdhxkhw/edit?usp=sharing"",""ปทุมธานี!J166"")"),0)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IFERROR(__xludf.DUMMYFUNCTION("IMPORTRANGE(""https://docs.google.com/spreadsheets/d/1SX6NBoVAgQJ6U1MVXOaj8PK2l7WJ3RER9xtqwdhxkhw/edit?usp=sharing"",""ปทุมธานี!I263"")"),6)</f>
        <v>6</v>
      </c>
      <c r="J368" s="188">
        <f ca="1">IFERROR(__xludf.DUMMYFUNCTION("IMPORTRANGE(""https://docs.google.com/spreadsheets/d/1SX6NBoVAgQJ6U1MVXOaj8PK2l7WJ3RER9xtqwdhxkhw/edit?usp=sharing"",""ปทุมธานี!J263"")"),6)</f>
        <v>6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IFERROR(__xludf.DUMMYFUNCTION("IMPORTRANGE(""https://docs.google.com/spreadsheets/d/1SX6NBoVAgQJ6U1MVXOaj8PK2l7WJ3RER9xtqwdhxkhw/edit?usp=sharing"",""ปทุมธานี!I164"")"),0)</f>
        <v>0</v>
      </c>
      <c r="J369" s="204">
        <f ca="1">IFERROR(__xludf.DUMMYFUNCTION("IMPORTRANGE(""https://docs.google.com/spreadsheets/d/1SX6NBoVAgQJ6U1MVXOaj8PK2l7WJ3RER9xtqwdhxkhw/edit?usp=sharing"",""ปทุมธานี!J164"")"),0)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IFERROR(__xludf.DUMMYFUNCTION("IMPORTRANGE(""https://docs.google.com/spreadsheets/d/1SX6NBoVAgQJ6U1MVXOaj8PK2l7WJ3RER9xtqwdhxkhw/edit?usp=sharing"",""ปทุมธานี!I265"")"),6)</f>
        <v>6</v>
      </c>
      <c r="J370" s="204">
        <f ca="1">IFERROR(__xludf.DUMMYFUNCTION("IMPORTRANGE(""https://docs.google.com/spreadsheets/d/1SX6NBoVAgQJ6U1MVXOaj8PK2l7WJ3RER9xtqwdhxkhw/edit?usp=sharing"",""ปทุมธานี!J265"")"),0)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IFERROR(__xludf.DUMMYFUNCTION("IMPORTRANGE(""https://docs.google.com/spreadsheets/d/1SX6NBoVAgQJ6U1MVXOaj8PK2l7WJ3RER9xtqwdhxkhw/edit?usp=sharing"",""ปทุมธานี!I164"")"),0)</f>
        <v>0</v>
      </c>
      <c r="J371" s="189">
        <f ca="1">IFERROR(__xludf.DUMMYFUNCTION("IMPORTRANGE(""https://docs.google.com/spreadsheets/d/1SX6NBoVAgQJ6U1MVXOaj8PK2l7WJ3RER9xtqwdhxkhw/edit?usp=sharing"",""ปทุมธานี!J164"")"),0)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IFERROR(__xludf.DUMMYFUNCTION("IMPORTRANGE(""https://docs.google.com/spreadsheets/d/1SX6NBoVAgQJ6U1MVXOaj8PK2l7WJ3RER9xtqwdhxkhw/edit?usp=sharing"",""ปทุมธานี!I267"")"),6)</f>
        <v>6</v>
      </c>
      <c r="J372" s="189">
        <f ca="1">IFERROR(__xludf.DUMMYFUNCTION("IMPORTRANGE(""https://docs.google.com/spreadsheets/d/1SX6NBoVAgQJ6U1MVXOaj8PK2l7WJ3RER9xtqwdhxkhw/edit?usp=sharing"",""ปทุมธานี!J267"")"),6)</f>
        <v>6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IFERROR(__xludf.DUMMYFUNCTION("IMPORTRANGE(""https://docs.google.com/spreadsheets/d/1SX6NBoVAgQJ6U1MVXOaj8PK2l7WJ3RER9xtqwdhxkhw/edit?usp=sharing"",""ปทุมธานี!I164"")"),0)</f>
        <v>0</v>
      </c>
      <c r="J373" s="204">
        <f ca="1">IFERROR(__xludf.DUMMYFUNCTION("IMPORTRANGE(""https://docs.google.com/spreadsheets/d/1SX6NBoVAgQJ6U1MVXOaj8PK2l7WJ3RER9xtqwdhxkhw/edit?usp=sharing"",""ปทุมธานี!J164"")"),0)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IFERROR(__xludf.DUMMYFUNCTION("IMPORTRANGE(""https://docs.google.com/spreadsheets/d/1SX6NBoVAgQJ6U1MVXOaj8PK2l7WJ3RER9xtqwdhxkhw/edit?usp=sharing"",""ปทุมธานี!I164"")"),0)</f>
        <v>0</v>
      </c>
      <c r="J374" s="188">
        <f ca="1">IFERROR(__xludf.DUMMYFUNCTION("IMPORTRANGE(""https://docs.google.com/spreadsheets/d/1SX6NBoVAgQJ6U1MVXOaj8PK2l7WJ3RER9xtqwdhxkhw/edit?usp=sharing"",""ปทุมธานี!J164"")"),0)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IFERROR(__xludf.DUMMYFUNCTION("IMPORTRANGE(""https://docs.google.com/spreadsheets/d/1SX6NBoVAgQJ6U1MVXOaj8PK2l7WJ3RER9xtqwdhxkhw/edit?usp=sharing"",""ปทุมธานี!I270"")"),12)</f>
        <v>12</v>
      </c>
      <c r="J375" s="188">
        <f ca="1">IFERROR(__xludf.DUMMYFUNCTION("IMPORTRANGE(""https://docs.google.com/spreadsheets/d/1SX6NBoVAgQJ6U1MVXOaj8PK2l7WJ3RER9xtqwdhxkhw/edit?usp=sharing"",""ปทุมธานี!J270"")"),12)</f>
        <v>12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IFERROR(__xludf.DUMMYFUNCTION("IMPORTRANGE(""https://docs.google.com/spreadsheets/d/1SX6NBoVAgQJ6U1MVXOaj8PK2l7WJ3RER9xtqwdhxkhw/edit?usp=sharing"",""ปทุมธานี!I271"")"),12)</f>
        <v>12</v>
      </c>
      <c r="J376" s="189">
        <f ca="1">IFERROR(__xludf.DUMMYFUNCTION("IMPORTRANGE(""https://docs.google.com/spreadsheets/d/1SX6NBoVAgQJ6U1MVXOaj8PK2l7WJ3RER9xtqwdhxkhw/edit?usp=sharing"",""ปทุมธานี!J271"")"),12)</f>
        <v>12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IFERROR(__xludf.DUMMYFUNCTION("IMPORTRANGE(""https://docs.google.com/spreadsheets/d/1SX6NBoVAgQJ6U1MVXOaj8PK2l7WJ3RER9xtqwdhxkhw/edit?usp=sharing"",""ปทุมธานี!I272"")"),0)</f>
        <v>0</v>
      </c>
      <c r="J377" s="204">
        <f ca="1">IFERROR(__xludf.DUMMYFUNCTION("IMPORTRANGE(""https://docs.google.com/spreadsheets/d/1SX6NBoVAgQJ6U1MVXOaj8PK2l7WJ3RER9xtqwdhxkhw/edit?usp=sharing"",""ปทุมธานี!J272"")"),0)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IFERROR(__xludf.DUMMYFUNCTION("IMPORTRANGE(""https://docs.google.com/spreadsheets/d/1SX6NBoVAgQJ6U1MVXOaj8PK2l7WJ3RER9xtqwdhxkhw/edit?usp=sharing"",""ปทุมธานี!J273"")"),0)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IFERROR(__xludf.DUMMYFUNCTION("IMPORTRANGE(""https://docs.google.com/spreadsheets/d/1SX6NBoVAgQJ6U1MVXOaj8PK2l7WJ3RER9xtqwdhxkhw/edit?usp=sharing"",""ปทุมธานี!J274"")"),0)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IFERROR(__xludf.DUMMYFUNCTION("IMPORTRANGE(""https://docs.google.com/spreadsheets/d/1SX6NBoVAgQJ6U1MVXOaj8PK2l7WJ3RER9xtqwdhxkhw/edit?usp=sharing"",""ปทุมธานี!I275"")"),50)</f>
        <v>50</v>
      </c>
      <c r="J380" s="371">
        <f ca="1">IFERROR(__xludf.DUMMYFUNCTION("IMPORTRANGE(""https://docs.google.com/spreadsheets/d/1SX6NBoVAgQJ6U1MVXOaj8PK2l7WJ3RER9xtqwdhxkhw/edit?usp=sharing"",""ปทุมธานี!J275"")"),50)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IFERROR(__xludf.DUMMYFUNCTION("IMPORTRANGE(""https://docs.google.com/spreadsheets/d/1SX6NBoVAgQJ6U1MVXOaj8PK2l7WJ3RER9xtqwdhxkhw/edit?usp=sharing"",""ปทุมธานี!L275"")"),87710)</f>
        <v>87710</v>
      </c>
      <c r="M380" s="373"/>
      <c r="N380" s="373">
        <f ca="1">IFERROR(__xludf.DUMMYFUNCTION("IMPORTRANGE(""https://docs.google.com/spreadsheets/d/1SX6NBoVAgQJ6U1MVXOaj8PK2l7WJ3RER9xtqwdhxkhw/edit?usp=sharing"",""ปทุมธานี!M275"")"),77809)</f>
        <v>77809</v>
      </c>
      <c r="O380" s="373">
        <f ca="1">+IF(L380&gt;0,N380*100/L380,0)</f>
        <v>88.711663436324244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IFERROR(__xludf.DUMMYFUNCTION("IMPORTRANGE(""https://docs.google.com/spreadsheets/d/1SX6NBoVAgQJ6U1MVXOaj8PK2l7WJ3RER9xtqwdhxkhw/edit?usp=sharing"",""ปทุมธานี!I276"")"),5)</f>
        <v>5</v>
      </c>
      <c r="J381" s="371">
        <f ca="1">IFERROR(__xludf.DUMMYFUNCTION("IMPORTRANGE(""https://docs.google.com/spreadsheets/d/1SX6NBoVAgQJ6U1MVXOaj8PK2l7WJ3RER9xtqwdhxkhw/edit?usp=sharing"",""ปทุมธานี!J276"")"),10)</f>
        <v>10</v>
      </c>
      <c r="K381" s="372">
        <f t="shared" ca="1" si="108"/>
        <v>200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IFERROR(__xludf.DUMMYFUNCTION("IMPORTRANGE(""https://docs.google.com/spreadsheets/d/1SX6NBoVAgQJ6U1MVXOaj8PK2l7WJ3RER9xtqwdhxkhw/edit?usp=sharing"",""ปทุมธานี!L277"")"),0)</f>
        <v>0</v>
      </c>
      <c r="M382" s="164"/>
      <c r="N382" s="164">
        <f ca="1">IFERROR(__xludf.DUMMYFUNCTION("IMPORTRANGE(""https://docs.google.com/spreadsheets/d/1SX6NBoVAgQJ6U1MVXOaj8PK2l7WJ3RER9xtqwdhxkhw/edit?usp=sharing"",""ปทุมธานี!M277"")"),0)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IFERROR(__xludf.DUMMYFUNCTION("IMPORTRANGE(""https://docs.google.com/spreadsheets/d/1SX6NBoVAgQJ6U1MVXOaj8PK2l7WJ3RER9xtqwdhxkhw/edit?usp=sharing"",""ปทุมธานี!L278"")"),87710)</f>
        <v>87710</v>
      </c>
      <c r="M383" s="165"/>
      <c r="N383" s="165">
        <f ca="1">IFERROR(__xludf.DUMMYFUNCTION("IMPORTRANGE(""https://docs.google.com/spreadsheets/d/1SX6NBoVAgQJ6U1MVXOaj8PK2l7WJ3RER9xtqwdhxkhw/edit?usp=sharing"",""ปทุมธานี!M278"")"),77809)</f>
        <v>77809</v>
      </c>
      <c r="O383" s="165">
        <f t="shared" ca="1" si="109"/>
        <v>88.711663436324244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IFERROR(__xludf.DUMMYFUNCTION("IMPORTRANGE(""https://docs.google.com/spreadsheets/d/1SX6NBoVAgQJ6U1MVXOaj8PK2l7WJ3RER9xtqwdhxkhw/edit?usp=sharing"",""ปทุมธานี!L279"")"),0)</f>
        <v>0</v>
      </c>
      <c r="M384" s="169"/>
      <c r="N384" s="169">
        <f ca="1">IFERROR(__xludf.DUMMYFUNCTION("IMPORTRANGE(""https://docs.google.com/spreadsheets/d/1SX6NBoVAgQJ6U1MVXOaj8PK2l7WJ3RER9xtqwdhxkhw/edit?usp=sharing"",""ปทุมธานี!M279"")"),0)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IFERROR(__xludf.DUMMYFUNCTION("IMPORTRANGE(""https://docs.google.com/spreadsheets/d/1SX6NBoVAgQJ6U1MVXOaj8PK2l7WJ3RER9xtqwdhxkhw/edit?usp=sharing"",""ปทุมธานี!L280"")"),87710)</f>
        <v>87710</v>
      </c>
      <c r="M385" s="169"/>
      <c r="N385" s="168">
        <f ca="1">IFERROR(__xludf.DUMMYFUNCTION("IMPORTRANGE(""https://docs.google.com/spreadsheets/d/1SX6NBoVAgQJ6U1MVXOaj8PK2l7WJ3RER9xtqwdhxkhw/edit?usp=sharing"",""ปทุมธานี!M280"")"),77809)</f>
        <v>77809</v>
      </c>
      <c r="O385" s="169">
        <f t="shared" ca="1" si="109"/>
        <v>88.711663436324244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IFERROR(__xludf.DUMMYFUNCTION("IMPORTRANGE(""https://docs.google.com/spreadsheets/d/1SX6NBoVAgQJ6U1MVXOaj8PK2l7WJ3RER9xtqwdhxkhw/edit?usp=sharing"",""ปทุมธานี!M281"")"),34409)</f>
        <v>34409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IFERROR(__xludf.DUMMYFUNCTION("IMPORTRANGE(""https://docs.google.com/spreadsheets/d/1SX6NBoVAgQJ6U1MVXOaj8PK2l7WJ3RER9xtqwdhxkhw/edit?usp=sharing"",""ปทุมธานี!M282"")"),31250)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IFERROR(__xludf.DUMMYFUNCTION("IMPORTRANGE(""https://docs.google.com/spreadsheets/d/1SX6NBoVAgQJ6U1MVXOaj8PK2l7WJ3RER9xtqwdhxkhw/edit?usp=sharing"",""ปทุมธานี!M283"")"),0)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IFERROR(__xludf.DUMMYFUNCTION("IMPORTRANGE(""https://docs.google.com/spreadsheets/d/1SX6NBoVAgQJ6U1MVXOaj8PK2l7WJ3RER9xtqwdhxkhw/edit?usp=sharing"",""ปทุมธานี!M284"")"),12150)</f>
        <v>12150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IFERROR(__xludf.DUMMYFUNCTION("IMPORTRANGE(""https://docs.google.com/spreadsheets/d/1SX6NBoVAgQJ6U1MVXOaj8PK2l7WJ3RER9xtqwdhxkhw/edit?usp=sharing"",""ปทุมธานี!J286"")"),0)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IFERROR(__xludf.DUMMYFUNCTION("IMPORTRANGE(""https://docs.google.com/spreadsheets/d/1SX6NBoVAgQJ6U1MVXOaj8PK2l7WJ3RER9xtqwdhxkhw/edit?usp=sharing"",""ปทุมธานี!J287"")"),1)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IFERROR(__xludf.DUMMYFUNCTION("IMPORTRANGE(""https://docs.google.com/spreadsheets/d/1SX6NBoVAgQJ6U1MVXOaj8PK2l7WJ3RER9xtqwdhxkhw/edit?usp=sharing"",""ปทุมธานี!J288"")"),1)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IFERROR(__xludf.DUMMYFUNCTION("IMPORTRANGE(""https://docs.google.com/spreadsheets/d/1SX6NBoVAgQJ6U1MVXOaj8PK2l7WJ3RER9xtqwdhxkhw/edit?usp=sharing"",""ปทุมธานี!J289"")"),1)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IFERROR(__xludf.DUMMYFUNCTION("IMPORTRANGE(""https://docs.google.com/spreadsheets/d/1SX6NBoVAgQJ6U1MVXOaj8PK2l7WJ3RER9xtqwdhxkhw/edit?usp=sharing"",""ปทุมธานี!I291"")"),5)</f>
        <v>5</v>
      </c>
      <c r="J396" s="198">
        <f ca="1">IFERROR(__xludf.DUMMYFUNCTION("IMPORTRANGE(""https://docs.google.com/spreadsheets/d/1SX6NBoVAgQJ6U1MVXOaj8PK2l7WJ3RER9xtqwdhxkhw/edit?usp=sharing"",""ปทุมธานี!J291"")"),10)</f>
        <v>10</v>
      </c>
      <c r="K396" s="163">
        <f t="shared" ref="K396:K398" ca="1" si="110">IF(I396&gt;0,J396*100/I396,0)</f>
        <v>200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IFERROR(__xludf.DUMMYFUNCTION("IMPORTRANGE(""https://docs.google.com/spreadsheets/d/1SX6NBoVAgQJ6U1MVXOaj8PK2l7WJ3RER9xtqwdhxkhw/edit?usp=sharing"",""ปทุมธานี!I292"")"),50)</f>
        <v>50</v>
      </c>
      <c r="J397" s="198">
        <f ca="1">IFERROR(__xludf.DUMMYFUNCTION("IMPORTRANGE(""https://docs.google.com/spreadsheets/d/1SX6NBoVAgQJ6U1MVXOaj8PK2l7WJ3RER9xtqwdhxkhw/edit?usp=sharing"",""ปทุมธานี!J292"")"),50)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IFERROR(__xludf.DUMMYFUNCTION("IMPORTRANGE(""https://docs.google.com/spreadsheets/d/1SX6NBoVAgQJ6U1MVXOaj8PK2l7WJ3RER9xtqwdhxkhw/edit?usp=sharing"",""ปทุมธานี!I293"")"),5)</f>
        <v>5</v>
      </c>
      <c r="J398" s="198">
        <f ca="1">IFERROR(__xludf.DUMMYFUNCTION("IMPORTRANGE(""https://docs.google.com/spreadsheets/d/1SX6NBoVAgQJ6U1MVXOaj8PK2l7WJ3RER9xtqwdhxkhw/edit?usp=sharing"",""ปทุมธานี!J293"")"),5)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IFERROR(__xludf.DUMMYFUNCTION("IMPORTRANGE(""https://docs.google.com/spreadsheets/d/1SX6NBoVAgQJ6U1MVXOaj8PK2l7WJ3RER9xtqwdhxkhw/edit?usp=sharing"",""ปทุมธานี!J294"")"),0)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IFERROR(__xludf.DUMMYFUNCTION("IMPORTRANGE(""https://docs.google.com/spreadsheets/d/1SX6NBoVAgQJ6U1MVXOaj8PK2l7WJ3RER9xtqwdhxkhw/edit?usp=sharing"",""ปทุมธานี!J295"")"),0)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IFERROR(__xludf.DUMMYFUNCTION("IMPORTRANGE(""https://docs.google.com/spreadsheets/d/1SX6NBoVAgQJ6U1MVXOaj8PK2l7WJ3RER9xtqwdhxkhw/edit?usp=sharing"",""ปทุมธานี!I296"")"),135)</f>
        <v>135</v>
      </c>
      <c r="J401" s="371">
        <f ca="1">IFERROR(__xludf.DUMMYFUNCTION("IMPORTRANGE(""https://docs.google.com/spreadsheets/d/1SX6NBoVAgQJ6U1MVXOaj8PK2l7WJ3RER9xtqwdhxkhw/edit?usp=sharing"",""ปทุมธานี!J296"")"),135)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IFERROR(__xludf.DUMMYFUNCTION("IMPORTRANGE(""https://docs.google.com/spreadsheets/d/1SX6NBoVAgQJ6U1MVXOaj8PK2l7WJ3RER9xtqwdhxkhw/edit?usp=sharing"",""ปทุมธานี!L296"")"),187300)</f>
        <v>187300</v>
      </c>
      <c r="M401" s="373"/>
      <c r="N401" s="373">
        <f ca="1">IFERROR(__xludf.DUMMYFUNCTION("IMPORTRANGE(""https://docs.google.com/spreadsheets/d/1SX6NBoVAgQJ6U1MVXOaj8PK2l7WJ3RER9xtqwdhxkhw/edit?usp=sharing"",""ปทุมธานี!M296"")"),146880)</f>
        <v>146880</v>
      </c>
      <c r="O401" s="373">
        <f ca="1">+IF(L401&gt;0,N401*100/L401,0)</f>
        <v>78.419647624132409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IFERROR(__xludf.DUMMYFUNCTION("IMPORTRANGE(""https://docs.google.com/spreadsheets/d/1SX6NBoVAgQJ6U1MVXOaj8PK2l7WJ3RER9xtqwdhxkhw/edit?usp=sharing"",""ปทุมธานี!I297"")"),45)</f>
        <v>45</v>
      </c>
      <c r="J402" s="371">
        <f ca="1">IFERROR(__xludf.DUMMYFUNCTION("IMPORTRANGE(""https://docs.google.com/spreadsheets/d/1SX6NBoVAgQJ6U1MVXOaj8PK2l7WJ3RER9xtqwdhxkhw/edit?usp=sharing"",""ปทุมธานี!J297"")"),45)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IFERROR(__xludf.DUMMYFUNCTION("IMPORTRANGE(""https://docs.google.com/spreadsheets/d/1SX6NBoVAgQJ6U1MVXOaj8PK2l7WJ3RER9xtqwdhxkhw/edit?usp=sharing"",""ปทุมธานี!L298"")"),0)</f>
        <v>0</v>
      </c>
      <c r="M403" s="164"/>
      <c r="N403" s="169">
        <f ca="1">IFERROR(__xludf.DUMMYFUNCTION("IMPORTRANGE(""https://docs.google.com/spreadsheets/d/1SX6NBoVAgQJ6U1MVXOaj8PK2l7WJ3RER9xtqwdhxkhw/edit?usp=sharing"",""ปทุมธานี!M298"")"),0)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IFERROR(__xludf.DUMMYFUNCTION("IMPORTRANGE(""https://docs.google.com/spreadsheets/d/1SX6NBoVAgQJ6U1MVXOaj8PK2l7WJ3RER9xtqwdhxkhw/edit?usp=sharing"",""ปทุมธานี!L299"")"),187300)</f>
        <v>187300</v>
      </c>
      <c r="M404" s="165"/>
      <c r="N404" s="169">
        <f ca="1">IFERROR(__xludf.DUMMYFUNCTION("IMPORTRANGE(""https://docs.google.com/spreadsheets/d/1SX6NBoVAgQJ6U1MVXOaj8PK2l7WJ3RER9xtqwdhxkhw/edit?usp=sharing"",""ปทุมธานี!M299"")"),146880)</f>
        <v>146880</v>
      </c>
      <c r="O404" s="169">
        <f t="shared" ca="1" si="112"/>
        <v>78.419647624132409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IFERROR(__xludf.DUMMYFUNCTION("IMPORTRANGE(""https://docs.google.com/spreadsheets/d/1SX6NBoVAgQJ6U1MVXOaj8PK2l7WJ3RER9xtqwdhxkhw/edit?usp=sharing"",""ปทุมธานี!L300"")"),0)</f>
        <v>0</v>
      </c>
      <c r="M405" s="169"/>
      <c r="N405" s="169">
        <f ca="1">IFERROR(__xludf.DUMMYFUNCTION("IMPORTRANGE(""https://docs.google.com/spreadsheets/d/1SX6NBoVAgQJ6U1MVXOaj8PK2l7WJ3RER9xtqwdhxkhw/edit?usp=sharing"",""ปทุมธานี!M300"")"),0)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IFERROR(__xludf.DUMMYFUNCTION("IMPORTRANGE(""https://docs.google.com/spreadsheets/d/1SX6NBoVAgQJ6U1MVXOaj8PK2l7WJ3RER9xtqwdhxkhw/edit?usp=sharing"",""ปทุมธานี!L301"")"),187300)</f>
        <v>187300</v>
      </c>
      <c r="M406" s="169"/>
      <c r="N406" s="169">
        <f ca="1">IFERROR(__xludf.DUMMYFUNCTION("IMPORTRANGE(""https://docs.google.com/spreadsheets/d/1SX6NBoVAgQJ6U1MVXOaj8PK2l7WJ3RER9xtqwdhxkhw/edit?usp=sharing"",""ปทุมธานี!M301"")"),146880)</f>
        <v>146880</v>
      </c>
      <c r="O406" s="169">
        <f t="shared" ca="1" si="112"/>
        <v>78.419647624132409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IFERROR(__xludf.DUMMYFUNCTION("IMPORTRANGE(""https://docs.google.com/spreadsheets/d/1SX6NBoVAgQJ6U1MVXOaj8PK2l7WJ3RER9xtqwdhxkhw/edit?usp=sharing"",""ปทุมธานี!M302"")"),132780)</f>
        <v>132780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IFERROR(__xludf.DUMMYFUNCTION("IMPORTRANGE(""https://docs.google.com/spreadsheets/d/1SX6NBoVAgQJ6U1MVXOaj8PK2l7WJ3RER9xtqwdhxkhw/edit?usp=sharing"",""ปทุมธานี!M303"")"),0)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IFERROR(__xludf.DUMMYFUNCTION("IMPORTRANGE(""https://docs.google.com/spreadsheets/d/1SX6NBoVAgQJ6U1MVXOaj8PK2l7WJ3RER9xtqwdhxkhw/edit?usp=sharing"",""ปทุมธานี!M304"")"),0)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IFERROR(__xludf.DUMMYFUNCTION("IMPORTRANGE(""https://docs.google.com/spreadsheets/d/1SX6NBoVAgQJ6U1MVXOaj8PK2l7WJ3RER9xtqwdhxkhw/edit?usp=sharing"",""ปทุมธานี!M305"")"),14100)</f>
        <v>14100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IFERROR(__xludf.DUMMYFUNCTION("IMPORTRANGE(""https://docs.google.com/spreadsheets/d/1SX6NBoVAgQJ6U1MVXOaj8PK2l7WJ3RER9xtqwdhxkhw/edit?usp=sharing"",""ปทุมธานี!J307"")"),0)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IFERROR(__xludf.DUMMYFUNCTION("IMPORTRANGE(""https://docs.google.com/spreadsheets/d/1SX6NBoVAgQJ6U1MVXOaj8PK2l7WJ3RER9xtqwdhxkhw/edit?usp=sharing"",""ปทุมธานี!J308"")"),1)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IFERROR(__xludf.DUMMYFUNCTION("IMPORTRANGE(""https://docs.google.com/spreadsheets/d/1SX6NBoVAgQJ6U1MVXOaj8PK2l7WJ3RER9xtqwdhxkhw/edit?usp=sharing"",""ปทุมธานี!J309"")"),1)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IFERROR(__xludf.DUMMYFUNCTION("IMPORTRANGE(""https://docs.google.com/spreadsheets/d/1SX6NBoVAgQJ6U1MVXOaj8PK2l7WJ3RER9xtqwdhxkhw/edit?usp=sharing"",""ปทุมธานี!J310"")"),1)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IFERROR(__xludf.DUMMYFUNCTION("IMPORTRANGE(""https://docs.google.com/spreadsheets/d/1SX6NBoVAgQJ6U1MVXOaj8PK2l7WJ3RER9xtqwdhxkhw/edit?usp=sharing"",""ปทุมธานี!I311"")"),45)</f>
        <v>45</v>
      </c>
      <c r="J416" s="201">
        <f ca="1">IFERROR(__xludf.DUMMYFUNCTION("IMPORTRANGE(""https://docs.google.com/spreadsheets/d/1SX6NBoVAgQJ6U1MVXOaj8PK2l7WJ3RER9xtqwdhxkhw/edit?usp=sharing"",""ปทุมธานี!J311"")"),45)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IFERROR(__xludf.DUMMYFUNCTION("IMPORTRANGE(""https://docs.google.com/spreadsheets/d/1SX6NBoVAgQJ6U1MVXOaj8PK2l7WJ3RER9xtqwdhxkhw/edit?usp=sharing"",""ปทุมธานี!I312"")"),10)</f>
        <v>10</v>
      </c>
      <c r="J417" s="392">
        <f ca="1">IFERROR(__xludf.DUMMYFUNCTION("IMPORTRANGE(""https://docs.google.com/spreadsheets/d/1SX6NBoVAgQJ6U1MVXOaj8PK2l7WJ3RER9xtqwdhxkhw/edit?usp=sharing"",""ปทุมธานี!J312"")"),10)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IFERROR(__xludf.DUMMYFUNCTION("IMPORTRANGE(""https://docs.google.com/spreadsheets/d/1SX6NBoVAgQJ6U1MVXOaj8PK2l7WJ3RER9xtqwdhxkhw/edit?usp=sharing"",""ปทุมธานี!I313"")"),30)</f>
        <v>30</v>
      </c>
      <c r="J418" s="393">
        <f ca="1">IFERROR(__xludf.DUMMYFUNCTION("IMPORTRANGE(""https://docs.google.com/spreadsheets/d/1SX6NBoVAgQJ6U1MVXOaj8PK2l7WJ3RER9xtqwdhxkhw/edit?usp=sharing"",""ปทุมธานี!J313"")"),30)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IFERROR(__xludf.DUMMYFUNCTION("IMPORTRANGE(""https://docs.google.com/spreadsheets/d/1SX6NBoVAgQJ6U1MVXOaj8PK2l7WJ3RER9xtqwdhxkhw/edit?usp=sharing"",""ปทุมธานี!I314"")"),10)</f>
        <v>10</v>
      </c>
      <c r="J419" s="394">
        <f ca="1">IFERROR(__xludf.DUMMYFUNCTION("IMPORTRANGE(""https://docs.google.com/spreadsheets/d/1SX6NBoVAgQJ6U1MVXOaj8PK2l7WJ3RER9xtqwdhxkhw/edit?usp=sharing"",""ปทุมธานี!J314"")"),10)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IFERROR(__xludf.DUMMYFUNCTION("IMPORTRANGE(""https://docs.google.com/spreadsheets/d/1SX6NBoVAgQJ6U1MVXOaj8PK2l7WJ3RER9xtqwdhxkhw/edit?usp=sharing"",""ปทุมธานี!I315"")"),10)</f>
        <v>10</v>
      </c>
      <c r="J420" s="394">
        <f ca="1">IFERROR(__xludf.DUMMYFUNCTION("IMPORTRANGE(""https://docs.google.com/spreadsheets/d/1SX6NBoVAgQJ6U1MVXOaj8PK2l7WJ3RER9xtqwdhxkhw/edit?usp=sharing"",""ปทุมธานี!J315"")"),10)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IFERROR(__xludf.DUMMYFUNCTION("IMPORTRANGE(""https://docs.google.com/spreadsheets/d/1SX6NBoVAgQJ6U1MVXOaj8PK2l7WJ3RER9xtqwdhxkhw/edit?usp=sharing"",""ปทุมธานี!I316"")"),25)</f>
        <v>25</v>
      </c>
      <c r="J421" s="392">
        <f ca="1">IFERROR(__xludf.DUMMYFUNCTION("IMPORTRANGE(""https://docs.google.com/spreadsheets/d/1SX6NBoVAgQJ6U1MVXOaj8PK2l7WJ3RER9xtqwdhxkhw/edit?usp=sharing"",""ปทุมธานี!J316"")"),25)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IFERROR(__xludf.DUMMYFUNCTION("IMPORTRANGE(""https://docs.google.com/spreadsheets/d/1SX6NBoVAgQJ6U1MVXOaj8PK2l7WJ3RER9xtqwdhxkhw/edit?usp=sharing"",""ปทุมธานี!I317"")"),75)</f>
        <v>75</v>
      </c>
      <c r="J422" s="393">
        <f ca="1">IFERROR(__xludf.DUMMYFUNCTION("IMPORTRANGE(""https://docs.google.com/spreadsheets/d/1SX6NBoVAgQJ6U1MVXOaj8PK2l7WJ3RER9xtqwdhxkhw/edit?usp=sharing"",""ปทุมธานี!J317"")"),75)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IFERROR(__xludf.DUMMYFUNCTION("IMPORTRANGE(""https://docs.google.com/spreadsheets/d/1SX6NBoVAgQJ6U1MVXOaj8PK2l7WJ3RER9xtqwdhxkhw/edit?usp=sharing"",""ปทุมธานี!I318"")"),25)</f>
        <v>25</v>
      </c>
      <c r="J423" s="394">
        <f ca="1">IFERROR(__xludf.DUMMYFUNCTION("IMPORTRANGE(""https://docs.google.com/spreadsheets/d/1SX6NBoVAgQJ6U1MVXOaj8PK2l7WJ3RER9xtqwdhxkhw/edit?usp=sharing"",""ปทุมธานี!J318"")"),25)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IFERROR(__xludf.DUMMYFUNCTION("IMPORTRANGE(""https://docs.google.com/spreadsheets/d/1SX6NBoVAgQJ6U1MVXOaj8PK2l7WJ3RER9xtqwdhxkhw/edit?usp=sharing"",""ปทุมธานี!I319"")"),25)</f>
        <v>25</v>
      </c>
      <c r="J424" s="394">
        <f ca="1">IFERROR(__xludf.DUMMYFUNCTION("IMPORTRANGE(""https://docs.google.com/spreadsheets/d/1SX6NBoVAgQJ6U1MVXOaj8PK2l7WJ3RER9xtqwdhxkhw/edit?usp=sharing"",""ปทุมธานี!J319"")"),25)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IFERROR(__xludf.DUMMYFUNCTION("IMPORTRANGE(""https://docs.google.com/spreadsheets/d/1SX6NBoVAgQJ6U1MVXOaj8PK2l7WJ3RER9xtqwdhxkhw/edit?usp=sharing"",""ปทุมธานี!I320"")"),25)</f>
        <v>25</v>
      </c>
      <c r="J425" s="394">
        <f ca="1">IFERROR(__xludf.DUMMYFUNCTION("IMPORTRANGE(""https://docs.google.com/spreadsheets/d/1SX6NBoVAgQJ6U1MVXOaj8PK2l7WJ3RER9xtqwdhxkhw/edit?usp=sharing"",""ปทุมธานี!J320"")"),25)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IFERROR(__xludf.DUMMYFUNCTION("IMPORTRANGE(""https://docs.google.com/spreadsheets/d/1SX6NBoVAgQJ6U1MVXOaj8PK2l7WJ3RER9xtqwdhxkhw/edit?usp=sharing"",""ปทุมธานี!I321"")"),10)</f>
        <v>10</v>
      </c>
      <c r="J426" s="392">
        <f ca="1">IFERROR(__xludf.DUMMYFUNCTION("IMPORTRANGE(""https://docs.google.com/spreadsheets/d/1SX6NBoVAgQJ6U1MVXOaj8PK2l7WJ3RER9xtqwdhxkhw/edit?usp=sharing"",""ปทุมธานี!J321"")"),10)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IFERROR(__xludf.DUMMYFUNCTION("IMPORTRANGE(""https://docs.google.com/spreadsheets/d/1SX6NBoVAgQJ6U1MVXOaj8PK2l7WJ3RER9xtqwdhxkhw/edit?usp=sharing"",""ปทุมธานี!I322"")"),30)</f>
        <v>30</v>
      </c>
      <c r="J427" s="393">
        <f ca="1">IFERROR(__xludf.DUMMYFUNCTION("IMPORTRANGE(""https://docs.google.com/spreadsheets/d/1SX6NBoVAgQJ6U1MVXOaj8PK2l7WJ3RER9xtqwdhxkhw/edit?usp=sharing"",""ปทุมธานี!J322"")"),30)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IFERROR(__xludf.DUMMYFUNCTION("IMPORTRANGE(""https://docs.google.com/spreadsheets/d/1SX6NBoVAgQJ6U1MVXOaj8PK2l7WJ3RER9xtqwdhxkhw/edit?usp=sharing"",""ปทุมธานี!I323"")"),10)</f>
        <v>10</v>
      </c>
      <c r="J428" s="394">
        <f ca="1">IFERROR(__xludf.DUMMYFUNCTION("IMPORTRANGE(""https://docs.google.com/spreadsheets/d/1SX6NBoVAgQJ6U1MVXOaj8PK2l7WJ3RER9xtqwdhxkhw/edit?usp=sharing"",""ปทุมธานี!J323"")"),10)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IFERROR(__xludf.DUMMYFUNCTION("IMPORTRANGE(""https://docs.google.com/spreadsheets/d/1SX6NBoVAgQJ6U1MVXOaj8PK2l7WJ3RER9xtqwdhxkhw/edit?usp=sharing"",""ปทุมธานี!I324"")"),10)</f>
        <v>10</v>
      </c>
      <c r="J429" s="394">
        <f ca="1">IFERROR(__xludf.DUMMYFUNCTION("IMPORTRANGE(""https://docs.google.com/spreadsheets/d/1SX6NBoVAgQJ6U1MVXOaj8PK2l7WJ3RER9xtqwdhxkhw/edit?usp=sharing"",""ปทุมธานี!J324"")"),10)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IFERROR(__xludf.DUMMYFUNCTION("IMPORTRANGE(""https://docs.google.com/spreadsheets/d/1SX6NBoVAgQJ6U1MVXOaj8PK2l7WJ3RER9xtqwdhxkhw/edit?usp=sharing"",""ปทุมธานี!I325"")"),35)</f>
        <v>35</v>
      </c>
      <c r="J430" s="392">
        <f ca="1">IFERROR(__xludf.DUMMYFUNCTION("IMPORTRANGE(""https://docs.google.com/spreadsheets/d/1SX6NBoVAgQJ6U1MVXOaj8PK2l7WJ3RER9xtqwdhxkhw/edit?usp=sharing"",""ปทุมธานี!J325"")"),35)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IFERROR(__xludf.DUMMYFUNCTION("IMPORTRANGE(""https://docs.google.com/spreadsheets/d/1SX6NBoVAgQJ6U1MVXOaj8PK2l7WJ3RER9xtqwdhxkhw/edit?usp=sharing"",""ปทุมธานี!I326"")"),10)</f>
        <v>10</v>
      </c>
      <c r="J431" s="394">
        <f ca="1">IFERROR(__xludf.DUMMYFUNCTION("IMPORTRANGE(""https://docs.google.com/spreadsheets/d/1SX6NBoVAgQJ6U1MVXOaj8PK2l7WJ3RER9xtqwdhxkhw/edit?usp=sharing"",""ปทุมธานี!J326"")"),10)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IFERROR(__xludf.DUMMYFUNCTION("IMPORTRANGE(""https://docs.google.com/spreadsheets/d/1SX6NBoVAgQJ6U1MVXOaj8PK2l7WJ3RER9xtqwdhxkhw/edit?usp=sharing"",""ปทุมธานี!I327"")"),25)</f>
        <v>25</v>
      </c>
      <c r="J432" s="394">
        <f ca="1">IFERROR(__xludf.DUMMYFUNCTION("IMPORTRANGE(""https://docs.google.com/spreadsheets/d/1SX6NBoVAgQJ6U1MVXOaj8PK2l7WJ3RER9xtqwdhxkhw/edit?usp=sharing"",""ปทุมธานี!J327"")"),25)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IFERROR(__xludf.DUMMYFUNCTION("IMPORTRANGE(""https://docs.google.com/spreadsheets/d/1SX6NBoVAgQJ6U1MVXOaj8PK2l7WJ3RER9xtqwdhxkhw/edit?usp=sharing"",""ปทุมธานี!J328"")"),0)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IFERROR(__xludf.DUMMYFUNCTION("IMPORTRANGE(""https://docs.google.com/spreadsheets/d/1SX6NBoVAgQJ6U1MVXOaj8PK2l7WJ3RER9xtqwdhxkhw/edit?usp=sharing"",""ปทุมธานี!J329"")"),0)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IFERROR(__xludf.DUMMYFUNCTION("IMPORTRANGE(""https://docs.google.com/spreadsheets/d/1SX6NBoVAgQJ6U1MVXOaj8PK2l7WJ3RER9xtqwdhxkhw/edit?usp=sharing"",""ปทุมธานี!I330"")"),10)</f>
        <v>10</v>
      </c>
      <c r="J435" s="410">
        <f ca="1">IFERROR(__xludf.DUMMYFUNCTION("IMPORTRANGE(""https://docs.google.com/spreadsheets/d/1SX6NBoVAgQJ6U1MVXOaj8PK2l7WJ3RER9xtqwdhxkhw/edit?usp=sharing"",""ปทุมธานี!J330"")"),10)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IFERROR(__xludf.DUMMYFUNCTION("IMPORTRANGE(""https://docs.google.com/spreadsheets/d/1SX6NBoVAgQJ6U1MVXOaj8PK2l7WJ3RER9xtqwdhxkhw/edit?usp=sharing"",""ปทุมธานี!L330"")"),76000)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IFERROR(__xludf.DUMMYFUNCTION("IMPORTRANGE(""https://docs.google.com/spreadsheets/d/1SX6NBoVAgQJ6U1MVXOaj8PK2l7WJ3RER9xtqwdhxkhw/edit?usp=sharing"",""ปทุมธานี!M330"")"),56057)</f>
        <v>56057</v>
      </c>
      <c r="O435" s="412">
        <f t="shared" ref="O435:O439" ca="1" si="114">+IF(L435&gt;0,N435*100/L435,0)</f>
        <v>73.759210526315783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IFERROR(__xludf.DUMMYFUNCTION("IMPORTRANGE(""https://docs.google.com/spreadsheets/d/1SX6NBoVAgQJ6U1MVXOaj8PK2l7WJ3RER9xtqwdhxkhw/edit?usp=sharing"",""ปทุมธานี!L331"")"),0)</f>
        <v>0</v>
      </c>
      <c r="M436" s="164"/>
      <c r="N436" s="169">
        <f ca="1">IFERROR(__xludf.DUMMYFUNCTION("IMPORTRANGE(""https://docs.google.com/spreadsheets/d/1SX6NBoVAgQJ6U1MVXOaj8PK2l7WJ3RER9xtqwdhxkhw/edit?usp=sharing"",""ปทุมธานี!M331"")"),0)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IFERROR(__xludf.DUMMYFUNCTION("IMPORTRANGE(""https://docs.google.com/spreadsheets/d/1SX6NBoVAgQJ6U1MVXOaj8PK2l7WJ3RER9xtqwdhxkhw/edit?usp=sharing"",""ปทุมธานี!L332"")"),76000)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IFERROR(__xludf.DUMMYFUNCTION("IMPORTRANGE(""https://docs.google.com/spreadsheets/d/1SX6NBoVAgQJ6U1MVXOaj8PK2l7WJ3RER9xtqwdhxkhw/edit?usp=sharing"",""ปทุมธานี!M332"")"),56057)</f>
        <v>56057</v>
      </c>
      <c r="O437" s="169">
        <f t="shared" ca="1" si="114"/>
        <v>73.759210526315783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IFERROR(__xludf.DUMMYFUNCTION("IMPORTRANGE(""https://docs.google.com/spreadsheets/d/1SX6NBoVAgQJ6U1MVXOaj8PK2l7WJ3RER9xtqwdhxkhw/edit?usp=sharing"",""ปทุมธานี!L333"")"),0)</f>
        <v>0</v>
      </c>
      <c r="M438" s="169"/>
      <c r="N438" s="169">
        <f ca="1">IFERROR(__xludf.DUMMYFUNCTION("IMPORTRANGE(""https://docs.google.com/spreadsheets/d/1SX6NBoVAgQJ6U1MVXOaj8PK2l7WJ3RER9xtqwdhxkhw/edit?usp=sharing"",""ปทุมธานี!M333"")"),0)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IFERROR(__xludf.DUMMYFUNCTION("IMPORTRANGE(""https://docs.google.com/spreadsheets/d/1SX6NBoVAgQJ6U1MVXOaj8PK2l7WJ3RER9xtqwdhxkhw/edit?usp=sharing"",""ปทุมธานี!L334"")"),76000)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IFERROR(__xludf.DUMMYFUNCTION("IMPORTRANGE(""https://docs.google.com/spreadsheets/d/1SX6NBoVAgQJ6U1MVXOaj8PK2l7WJ3RER9xtqwdhxkhw/edit?usp=sharing"",""ปทุมธานี!M334"")"),56057)</f>
        <v>56057</v>
      </c>
      <c r="O439" s="169">
        <f t="shared" ca="1" si="114"/>
        <v>73.759210526315783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IFERROR(__xludf.DUMMYFUNCTION("IMPORTRANGE(""https://docs.google.com/spreadsheets/d/1SX6NBoVAgQJ6U1MVXOaj8PK2l7WJ3RER9xtqwdhxkhw/edit?usp=sharing"",""ปทุมธานี!M335"")"),43257)</f>
        <v>43257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IFERROR(__xludf.DUMMYFUNCTION("IMPORTRANGE(""https://docs.google.com/spreadsheets/d/1SX6NBoVAgQJ6U1MVXOaj8PK2l7WJ3RER9xtqwdhxkhw/edit?usp=sharing"",""ปทุมธานี!M336"")"),0)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IFERROR(__xludf.DUMMYFUNCTION("IMPORTRANGE(""https://docs.google.com/spreadsheets/d/1SX6NBoVAgQJ6U1MVXOaj8PK2l7WJ3RER9xtqwdhxkhw/edit?usp=sharing"",""ปทุมธานี!M337"")"),0)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IFERROR(__xludf.DUMMYFUNCTION("IMPORTRANGE(""https://docs.google.com/spreadsheets/d/1SX6NBoVAgQJ6U1MVXOaj8PK2l7WJ3RER9xtqwdhxkhw/edit?usp=sharing"",""ปทุมธานี!M338"")"),12800)</f>
        <v>12800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IFERROR(__xludf.DUMMYFUNCTION("IMPORTRANGE(""https://docs.google.com/spreadsheets/d/1SX6NBoVAgQJ6U1MVXOaj8PK2l7WJ3RER9xtqwdhxkhw/edit?usp=sharing"",""ปทุมธานี!J340"")"),0)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IFERROR(__xludf.DUMMYFUNCTION("IMPORTRANGE(""https://docs.google.com/spreadsheets/d/1SX6NBoVAgQJ6U1MVXOaj8PK2l7WJ3RER9xtqwdhxkhw/edit?usp=sharing"",""ปทุมธานี!J341"")"),1)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IFERROR(__xludf.DUMMYFUNCTION("IMPORTRANGE(""https://docs.google.com/spreadsheets/d/1SX6NBoVAgQJ6U1MVXOaj8PK2l7WJ3RER9xtqwdhxkhw/edit?usp=sharing"",""ปทุมธานี!J342"")"),1)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IFERROR(__xludf.DUMMYFUNCTION("IMPORTRANGE(""https://docs.google.com/spreadsheets/d/1SX6NBoVAgQJ6U1MVXOaj8PK2l7WJ3RER9xtqwdhxkhw/edit?usp=sharing"",""ปทุมธานี!J343"")"),1)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IFERROR(__xludf.DUMMYFUNCTION("IMPORTRANGE(""https://docs.google.com/spreadsheets/d/1SX6NBoVAgQJ6U1MVXOaj8PK2l7WJ3RER9xtqwdhxkhw/edit?usp=sharing"",""ปทุมธานี!I344"")"),10)</f>
        <v>10</v>
      </c>
      <c r="J449" s="201">
        <f ca="1">IFERROR(__xludf.DUMMYFUNCTION("IMPORTRANGE(""https://docs.google.com/spreadsheets/d/1SX6NBoVAgQJ6U1MVXOaj8PK2l7WJ3RER9xtqwdhxkhw/edit?usp=sharing"",""ปทุมธานี!J344"")"),10)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IFERROR(__xludf.DUMMYFUNCTION("IMPORTRANGE(""https://docs.google.com/spreadsheets/d/1SX6NBoVAgQJ6U1MVXOaj8PK2l7WJ3RER9xtqwdhxkhw/edit?usp=sharing"",""ปทุมธานี!I345"")"),10)</f>
        <v>10</v>
      </c>
      <c r="J450" s="189">
        <f ca="1">IFERROR(__xludf.DUMMYFUNCTION("IMPORTRANGE(""https://docs.google.com/spreadsheets/d/1SX6NBoVAgQJ6U1MVXOaj8PK2l7WJ3RER9xtqwdhxkhw/edit?usp=sharing"",""ปทุมธานี!J345"")"),10)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IFERROR(__xludf.DUMMYFUNCTION("IMPORTRANGE(""https://docs.google.com/spreadsheets/d/1SX6NBoVAgQJ6U1MVXOaj8PK2l7WJ3RER9xtqwdhxkhw/edit?usp=sharing"",""ปทุมธานี!I346"")"),0)</f>
        <v>0</v>
      </c>
      <c r="J451" s="188">
        <f ca="1">IFERROR(__xludf.DUMMYFUNCTION("IMPORTRANGE(""https://docs.google.com/spreadsheets/d/1SX6NBoVAgQJ6U1MVXOaj8PK2l7WJ3RER9xtqwdhxkhw/edit?usp=sharing"",""ปทุมธานี!J346"")"),0)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IFERROR(__xludf.DUMMYFUNCTION("IMPORTRANGE(""https://docs.google.com/spreadsheets/d/1SX6NBoVAgQJ6U1MVXOaj8PK2l7WJ3RER9xtqwdhxkhw/edit?usp=sharing"",""ปทุมธานี!I347"")"),0)</f>
        <v>0</v>
      </c>
      <c r="J452" s="188">
        <f ca="1">IFERROR(__xludf.DUMMYFUNCTION("IMPORTRANGE(""https://docs.google.com/spreadsheets/d/1SX6NBoVAgQJ6U1MVXOaj8PK2l7WJ3RER9xtqwdhxkhw/edit?usp=sharing"",""ปทุมธานี!J347"")"),0)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IFERROR(__xludf.DUMMYFUNCTION("IMPORTRANGE(""https://docs.google.com/spreadsheets/d/1SX6NBoVAgQJ6U1MVXOaj8PK2l7WJ3RER9xtqwdhxkhw/edit?usp=sharing"",""ปทุมธานี!J348"")"),0)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IFERROR(__xludf.DUMMYFUNCTION("IMPORTRANGE(""https://docs.google.com/spreadsheets/d/1SX6NBoVAgQJ6U1MVXOaj8PK2l7WJ3RER9xtqwdhxkhw/edit?usp=sharing"",""ปทุมธานี!J349"")"),0)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IFERROR(__xludf.DUMMYFUNCTION("IMPORTRANGE(""https://docs.google.com/spreadsheets/d/1SX6NBoVAgQJ6U1MVXOaj8PK2l7WJ3RER9xtqwdhxkhw/edit?usp=sharing"",""ปทุมธานี!I350"")"),0)</f>
        <v>0</v>
      </c>
      <c r="J455" s="371">
        <f ca="1">IFERROR(__xludf.DUMMYFUNCTION("IMPORTRANGE(""https://docs.google.com/spreadsheets/d/1SX6NBoVAgQJ6U1MVXOaj8PK2l7WJ3RER9xtqwdhxkhw/edit?usp=sharing"",""ปทุมธานี!J350"")"),0)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IFERROR(__xludf.DUMMYFUNCTION("IMPORTRANGE(""https://docs.google.com/spreadsheets/d/1SX6NBoVAgQJ6U1MVXOaj8PK2l7WJ3RER9xtqwdhxkhw/edit?usp=sharing"",""ปทุมธานี!L350"")"),0)</f>
        <v>0</v>
      </c>
      <c r="M455" s="373"/>
      <c r="N455" s="373">
        <f ca="1">IFERROR(__xludf.DUMMYFUNCTION("IMPORTRANGE(""https://docs.google.com/spreadsheets/d/1SX6NBoVAgQJ6U1MVXOaj8PK2l7WJ3RER9xtqwdhxkhw/edit?usp=sharing"",""ปทุมธานี!M350"")"),0)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IFERROR(__xludf.DUMMYFUNCTION("IMPORTRANGE(""https://docs.google.com/spreadsheets/d/1SX6NBoVAgQJ6U1MVXOaj8PK2l7WJ3RER9xtqwdhxkhw/edit?usp=sharing"",""ปทุมธานี!L351"")"),0)</f>
        <v>0</v>
      </c>
      <c r="M456" s="164"/>
      <c r="N456" s="169">
        <f ca="1">IFERROR(__xludf.DUMMYFUNCTION("IMPORTRANGE(""https://docs.google.com/spreadsheets/d/1SX6NBoVAgQJ6U1MVXOaj8PK2l7WJ3RER9xtqwdhxkhw/edit?usp=sharing"",""ปทุมธานี!M351"")"),0)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IFERROR(__xludf.DUMMYFUNCTION("IMPORTRANGE(""https://docs.google.com/spreadsheets/d/1SX6NBoVAgQJ6U1MVXOaj8PK2l7WJ3RER9xtqwdhxkhw/edit?usp=sharing"",""ปทุมธานี!L352"")"),0)</f>
        <v>0</v>
      </c>
      <c r="M457" s="165"/>
      <c r="N457" s="169">
        <f ca="1">IFERROR(__xludf.DUMMYFUNCTION("IMPORTRANGE(""https://docs.google.com/spreadsheets/d/1SX6NBoVAgQJ6U1MVXOaj8PK2l7WJ3RER9xtqwdhxkhw/edit?usp=sharing"",""ปทุมธานี!M352"")"),0)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IFERROR(__xludf.DUMMYFUNCTION("IMPORTRANGE(""https://docs.google.com/spreadsheets/d/1SX6NBoVAgQJ6U1MVXOaj8PK2l7WJ3RER9xtqwdhxkhw/edit?usp=sharing"",""ปทุมธานี!L353"")"),0)</f>
        <v>0</v>
      </c>
      <c r="M458" s="169"/>
      <c r="N458" s="169">
        <f ca="1">IFERROR(__xludf.DUMMYFUNCTION("IMPORTRANGE(""https://docs.google.com/spreadsheets/d/1SX6NBoVAgQJ6U1MVXOaj8PK2l7WJ3RER9xtqwdhxkhw/edit?usp=sharing"",""ปทุมธานี!M353"")"),0)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IFERROR(__xludf.DUMMYFUNCTION("IMPORTRANGE(""https://docs.google.com/spreadsheets/d/1SX6NBoVAgQJ6U1MVXOaj8PK2l7WJ3RER9xtqwdhxkhw/edit?usp=sharing"",""ปทุมธานี!L354"")"),0)</f>
        <v>0</v>
      </c>
      <c r="M459" s="169"/>
      <c r="N459" s="169">
        <f ca="1">IFERROR(__xludf.DUMMYFUNCTION("IMPORTRANGE(""https://docs.google.com/spreadsheets/d/1SX6NBoVAgQJ6U1MVXOaj8PK2l7WJ3RER9xtqwdhxkhw/edit?usp=sharing"",""ปทุมธานี!M354"")"),0)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IFERROR(__xludf.DUMMYFUNCTION("IMPORTRANGE(""https://docs.google.com/spreadsheets/d/1SX6NBoVAgQJ6U1MVXOaj8PK2l7WJ3RER9xtqwdhxkhw/edit?usp=sharing"",""ปทุมธานี!M355"")"),0)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IFERROR(__xludf.DUMMYFUNCTION("IMPORTRANGE(""https://docs.google.com/spreadsheets/d/1SX6NBoVAgQJ6U1MVXOaj8PK2l7WJ3RER9xtqwdhxkhw/edit?usp=sharing"",""ปทุมธานี!M356"")"),0)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IFERROR(__xludf.DUMMYFUNCTION("IMPORTRANGE(""https://docs.google.com/spreadsheets/d/1SX6NBoVAgQJ6U1MVXOaj8PK2l7WJ3RER9xtqwdhxkhw/edit?usp=sharing"",""ปทุมธานี!M357"")"),0)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IFERROR(__xludf.DUMMYFUNCTION("IMPORTRANGE(""https://docs.google.com/spreadsheets/d/1SX6NBoVAgQJ6U1MVXOaj8PK2l7WJ3RER9xtqwdhxkhw/edit?usp=sharing"",""ปทุมธานี!M358"")"),0)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IFERROR(__xludf.DUMMYFUNCTION("IMPORTRANGE(""https://docs.google.com/spreadsheets/d/1SX6NBoVAgQJ6U1MVXOaj8PK2l7WJ3RER9xtqwdhxkhw/edit?usp=sharing"",""ปทุมธานี!I359"")"),0)</f>
        <v>0</v>
      </c>
      <c r="J464" s="268">
        <f ca="1">IFERROR(__xludf.DUMMYFUNCTION("IMPORTRANGE(""https://docs.google.com/spreadsheets/d/1SX6NBoVAgQJ6U1MVXOaj8PK2l7WJ3RER9xtqwdhxkhw/edit?usp=sharing"",""ปทุมธานี!J359"")"),0)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IFERROR(__xludf.DUMMYFUNCTION("IMPORTRANGE(""https://docs.google.com/spreadsheets/d/1SX6NBoVAgQJ6U1MVXOaj8PK2l7WJ3RER9xtqwdhxkhw/edit?usp=sharing"",""ปทุมธานี!I360"")"),0)</f>
        <v>0</v>
      </c>
      <c r="J465" s="420">
        <f ca="1">IFERROR(__xludf.DUMMYFUNCTION("IMPORTRANGE(""https://docs.google.com/spreadsheets/d/1SX6NBoVAgQJ6U1MVXOaj8PK2l7WJ3RER9xtqwdhxkhw/edit?usp=sharing"",""ปทุมธานี!J360"")"),0)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IFERROR(__xludf.DUMMYFUNCTION("IMPORTRANGE(""https://docs.google.com/spreadsheets/d/1SX6NBoVAgQJ6U1MVXOaj8PK2l7WJ3RER9xtqwdhxkhw/edit?usp=sharing"",""ปทุมธานี!I361"")"),0)</f>
        <v>0</v>
      </c>
      <c r="J466" s="420">
        <f ca="1">IFERROR(__xludf.DUMMYFUNCTION("IMPORTRANGE(""https://docs.google.com/spreadsheets/d/1SX6NBoVAgQJ6U1MVXOaj8PK2l7WJ3RER9xtqwdhxkhw/edit?usp=sharing"",""ปทุมธานี!J361"")"),0)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IFERROR(__xludf.DUMMYFUNCTION("IMPORTRANGE(""https://docs.google.com/spreadsheets/d/1SX6NBoVAgQJ6U1MVXOaj8PK2l7WJ3RER9xtqwdhxkhw/edit?usp=sharing"",""ปทุมธานี!I362"")"),0)</f>
        <v>0</v>
      </c>
      <c r="J467" s="189">
        <f ca="1">IFERROR(__xludf.DUMMYFUNCTION("IMPORTRANGE(""https://docs.google.com/spreadsheets/d/1SX6NBoVAgQJ6U1MVXOaj8PK2l7WJ3RER9xtqwdhxkhw/edit?usp=sharing"",""ปทุมธานี!J362"")"),0)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IFERROR(__xludf.DUMMYFUNCTION("IMPORTRANGE(""https://docs.google.com/spreadsheets/d/1SX6NBoVAgQJ6U1MVXOaj8PK2l7WJ3RER9xtqwdhxkhw/edit?usp=sharing"",""ปทุมธานี!I363"")"),0)</f>
        <v>0</v>
      </c>
      <c r="J468" s="189">
        <f ca="1">IFERROR(__xludf.DUMMYFUNCTION("IMPORTRANGE(""https://docs.google.com/spreadsheets/d/1SX6NBoVAgQJ6U1MVXOaj8PK2l7WJ3RER9xtqwdhxkhw/edit?usp=sharing"",""ปทุมธานี!J363"")"),0)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IFERROR(__xludf.DUMMYFUNCTION("IMPORTRANGE(""https://docs.google.com/spreadsheets/d/1SX6NBoVAgQJ6U1MVXOaj8PK2l7WJ3RER9xtqwdhxkhw/edit?usp=sharing"",""ปทุมธานี!I364"")"),0)</f>
        <v>0</v>
      </c>
      <c r="J469" s="189">
        <f ca="1">IFERROR(__xludf.DUMMYFUNCTION("IMPORTRANGE(""https://docs.google.com/spreadsheets/d/1SX6NBoVAgQJ6U1MVXOaj8PK2l7WJ3RER9xtqwdhxkhw/edit?usp=sharing"",""ปทุมธานี!J364"")"),0)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IFERROR(__xludf.DUMMYFUNCTION("IMPORTRANGE(""https://docs.google.com/spreadsheets/d/1SX6NBoVAgQJ6U1MVXOaj8PK2l7WJ3RER9xtqwdhxkhw/edit?usp=sharing"",""ปทุมธานี!I365"")"),0)</f>
        <v>0</v>
      </c>
      <c r="J470" s="189">
        <f ca="1">IFERROR(__xludf.DUMMYFUNCTION("IMPORTRANGE(""https://docs.google.com/spreadsheets/d/1SX6NBoVAgQJ6U1MVXOaj8PK2l7WJ3RER9xtqwdhxkhw/edit?usp=sharing"",""ปทุมธานี!J365"")"),0)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IFERROR(__xludf.DUMMYFUNCTION("IMPORTRANGE(""https://docs.google.com/spreadsheets/d/1SX6NBoVAgQJ6U1MVXOaj8PK2l7WJ3RER9xtqwdhxkhw/edit?usp=sharing"",""ปทุมธานี!I366"")"),0)</f>
        <v>0</v>
      </c>
      <c r="J471" s="189">
        <f ca="1">IFERROR(__xludf.DUMMYFUNCTION("IMPORTRANGE(""https://docs.google.com/spreadsheets/d/1SX6NBoVAgQJ6U1MVXOaj8PK2l7WJ3RER9xtqwdhxkhw/edit?usp=sharing"",""ปทุมธานี!J366"")"),0)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IFERROR(__xludf.DUMMYFUNCTION("IMPORTRANGE(""https://docs.google.com/spreadsheets/d/1SX6NBoVAgQJ6U1MVXOaj8PK2l7WJ3RER9xtqwdhxkhw/edit?usp=sharing"",""ปทุมธานี!I367"")"),0)</f>
        <v>0</v>
      </c>
      <c r="J472" s="189">
        <f ca="1">IFERROR(__xludf.DUMMYFUNCTION("IMPORTRANGE(""https://docs.google.com/spreadsheets/d/1SX6NBoVAgQJ6U1MVXOaj8PK2l7WJ3RER9xtqwdhxkhw/edit?usp=sharing"",""ปทุมธานี!J367"")"),0)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IFERROR(__xludf.DUMMYFUNCTION("IMPORTRANGE(""https://docs.google.com/spreadsheets/d/1SX6NBoVAgQJ6U1MVXOaj8PK2l7WJ3RER9xtqwdhxkhw/edit?usp=sharing"",""ปทุมธานี!I368"")"),0)</f>
        <v>0</v>
      </c>
      <c r="J473" s="420">
        <f ca="1">IFERROR(__xludf.DUMMYFUNCTION("IMPORTRANGE(""https://docs.google.com/spreadsheets/d/1SX6NBoVAgQJ6U1MVXOaj8PK2l7WJ3RER9xtqwdhxkhw/edit?usp=sharing"",""ปทุมธานี!J368"")"),0)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IFERROR(__xludf.DUMMYFUNCTION("IMPORTRANGE(""https://docs.google.com/spreadsheets/d/1SX6NBoVAgQJ6U1MVXOaj8PK2l7WJ3RER9xtqwdhxkhw/edit?usp=sharing"",""ปทุมธานี!I369"")"),0)</f>
        <v>0</v>
      </c>
      <c r="J474" s="420">
        <f ca="1">IFERROR(__xludf.DUMMYFUNCTION("IMPORTRANGE(""https://docs.google.com/spreadsheets/d/1SX6NBoVAgQJ6U1MVXOaj8PK2l7WJ3RER9xtqwdhxkhw/edit?usp=sharing"",""ปทุมธานี!J369"")"),0)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IFERROR(__xludf.DUMMYFUNCTION("IMPORTRANGE(""https://docs.google.com/spreadsheets/d/1SX6NBoVAgQJ6U1MVXOaj8PK2l7WJ3RER9xtqwdhxkhw/edit?usp=sharing"",""ปทุมธานี!I370"")"),0)</f>
        <v>0</v>
      </c>
      <c r="J475" s="189">
        <f ca="1">IFERROR(__xludf.DUMMYFUNCTION("IMPORTRANGE(""https://docs.google.com/spreadsheets/d/1SX6NBoVAgQJ6U1MVXOaj8PK2l7WJ3RER9xtqwdhxkhw/edit?usp=sharing"",""ปทุมธานี!J370"")"),0)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IFERROR(__xludf.DUMMYFUNCTION("IMPORTRANGE(""https://docs.google.com/spreadsheets/d/1SX6NBoVAgQJ6U1MVXOaj8PK2l7WJ3RER9xtqwdhxkhw/edit?usp=sharing"",""ปทุมธานี!I371"")"),0)</f>
        <v>0</v>
      </c>
      <c r="J476" s="189">
        <f ca="1">IFERROR(__xludf.DUMMYFUNCTION("IMPORTRANGE(""https://docs.google.com/spreadsheets/d/1SX6NBoVAgQJ6U1MVXOaj8PK2l7WJ3RER9xtqwdhxkhw/edit?usp=sharing"",""ปทุมธานี!J371"")"),0)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IFERROR(__xludf.DUMMYFUNCTION("IMPORTRANGE(""https://docs.google.com/spreadsheets/d/1SX6NBoVAgQJ6U1MVXOaj8PK2l7WJ3RER9xtqwdhxkhw/edit?usp=sharing"",""ปทุมธานี!I372"")"),0)</f>
        <v>0</v>
      </c>
      <c r="J477" s="189">
        <f ca="1">IFERROR(__xludf.DUMMYFUNCTION("IMPORTRANGE(""https://docs.google.com/spreadsheets/d/1SX6NBoVAgQJ6U1MVXOaj8PK2l7WJ3RER9xtqwdhxkhw/edit?usp=sharing"",""ปทุมธานี!J372"")"),0)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IFERROR(__xludf.DUMMYFUNCTION("IMPORTRANGE(""https://docs.google.com/spreadsheets/d/1SX6NBoVAgQJ6U1MVXOaj8PK2l7WJ3RER9xtqwdhxkhw/edit?usp=sharing"",""ปทุมธานี!I373"")"),0)</f>
        <v>0</v>
      </c>
      <c r="J478" s="189">
        <f ca="1">IFERROR(__xludf.DUMMYFUNCTION("IMPORTRANGE(""https://docs.google.com/spreadsheets/d/1SX6NBoVAgQJ6U1MVXOaj8PK2l7WJ3RER9xtqwdhxkhw/edit?usp=sharing"",""ปทุมธานี!J373"")"),0)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IFERROR(__xludf.DUMMYFUNCTION("IMPORTRANGE(""https://docs.google.com/spreadsheets/d/1SX6NBoVAgQJ6U1MVXOaj8PK2l7WJ3RER9xtqwdhxkhw/edit?usp=sharing"",""ปทุมธานี!I374"")"),0)</f>
        <v>0</v>
      </c>
      <c r="J479" s="189">
        <f ca="1">IFERROR(__xludf.DUMMYFUNCTION("IMPORTRANGE(""https://docs.google.com/spreadsheets/d/1SX6NBoVAgQJ6U1MVXOaj8PK2l7WJ3RER9xtqwdhxkhw/edit?usp=sharing"",""ปทุมธานี!J374"")"),0)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IFERROR(__xludf.DUMMYFUNCTION("IMPORTRANGE(""https://docs.google.com/spreadsheets/d/1SX6NBoVAgQJ6U1MVXOaj8PK2l7WJ3RER9xtqwdhxkhw/edit?usp=sharing"",""ปทุมธานี!I375"")"),0)</f>
        <v>0</v>
      </c>
      <c r="J480" s="189">
        <f ca="1">IFERROR(__xludf.DUMMYFUNCTION("IMPORTRANGE(""https://docs.google.com/spreadsheets/d/1SX6NBoVAgQJ6U1MVXOaj8PK2l7WJ3RER9xtqwdhxkhw/edit?usp=sharing"",""ปทุมธานี!J375"")"),0)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IFERROR(__xludf.DUMMYFUNCTION("IMPORTRANGE(""https://docs.google.com/spreadsheets/d/1SX6NBoVAgQJ6U1MVXOaj8PK2l7WJ3RER9xtqwdhxkhw/edit?usp=sharing"",""ปทุมธานี!I376"")"),0)</f>
        <v>0</v>
      </c>
      <c r="J481" s="420">
        <f ca="1">IFERROR(__xludf.DUMMYFUNCTION("IMPORTRANGE(""https://docs.google.com/spreadsheets/d/1SX6NBoVAgQJ6U1MVXOaj8PK2l7WJ3RER9xtqwdhxkhw/edit?usp=sharing"",""ปทุมธานี!J376"")"),0)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IFERROR(__xludf.DUMMYFUNCTION("IMPORTRANGE(""https://docs.google.com/spreadsheets/d/1SX6NBoVAgQJ6U1MVXOaj8PK2l7WJ3RER9xtqwdhxkhw/edit?usp=sharing"",""ปทุมธานี!I377"")"),0)</f>
        <v>0</v>
      </c>
      <c r="J482" s="420">
        <f ca="1">IFERROR(__xludf.DUMMYFUNCTION("IMPORTRANGE(""https://docs.google.com/spreadsheets/d/1SX6NBoVAgQJ6U1MVXOaj8PK2l7WJ3RER9xtqwdhxkhw/edit?usp=sharing"",""ปทุมธานี!J377"")"),0)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IFERROR(__xludf.DUMMYFUNCTION("IMPORTRANGE(""https://docs.google.com/spreadsheets/d/1SX6NBoVAgQJ6U1MVXOaj8PK2l7WJ3RER9xtqwdhxkhw/edit?usp=sharing"",""ปทุมธานี!I378"")"),0)</f>
        <v>0</v>
      </c>
      <c r="J483" s="189">
        <f ca="1">IFERROR(__xludf.DUMMYFUNCTION("IMPORTRANGE(""https://docs.google.com/spreadsheets/d/1SX6NBoVAgQJ6U1MVXOaj8PK2l7WJ3RER9xtqwdhxkhw/edit?usp=sharing"",""ปทุมธานี!J378"")"),0)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IFERROR(__xludf.DUMMYFUNCTION("IMPORTRANGE(""https://docs.google.com/spreadsheets/d/1SX6NBoVAgQJ6U1MVXOaj8PK2l7WJ3RER9xtqwdhxkhw/edit?usp=sharing"",""ปทุมธานี!I379"")"),0)</f>
        <v>0</v>
      </c>
      <c r="J484" s="189">
        <f ca="1">IFERROR(__xludf.DUMMYFUNCTION("IMPORTRANGE(""https://docs.google.com/spreadsheets/d/1SX6NBoVAgQJ6U1MVXOaj8PK2l7WJ3RER9xtqwdhxkhw/edit?usp=sharing"",""ปทุมธานี!J379"")"),0)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IFERROR(__xludf.DUMMYFUNCTION("IMPORTRANGE(""https://docs.google.com/spreadsheets/d/1SX6NBoVAgQJ6U1MVXOaj8PK2l7WJ3RER9xtqwdhxkhw/edit?usp=sharing"",""ปทุมธานี!I380"")"),0)</f>
        <v>0</v>
      </c>
      <c r="J485" s="189">
        <f ca="1">IFERROR(__xludf.DUMMYFUNCTION("IMPORTRANGE(""https://docs.google.com/spreadsheets/d/1SX6NBoVAgQJ6U1MVXOaj8PK2l7WJ3RER9xtqwdhxkhw/edit?usp=sharing"",""ปทุมธานี!J380"")"),0)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IFERROR(__xludf.DUMMYFUNCTION("IMPORTRANGE(""https://docs.google.com/spreadsheets/d/1SX6NBoVAgQJ6U1MVXOaj8PK2l7WJ3RER9xtqwdhxkhw/edit?usp=sharing"",""ปทุมธานี!I381"")"),0)</f>
        <v>0</v>
      </c>
      <c r="J486" s="189">
        <f ca="1">IFERROR(__xludf.DUMMYFUNCTION("IMPORTRANGE(""https://docs.google.com/spreadsheets/d/1SX6NBoVAgQJ6U1MVXOaj8PK2l7WJ3RER9xtqwdhxkhw/edit?usp=sharing"",""ปทุมธานี!J381"")"),0)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IFERROR(__xludf.DUMMYFUNCTION("IMPORTRANGE(""https://docs.google.com/spreadsheets/d/1SX6NBoVAgQJ6U1MVXOaj8PK2l7WJ3RER9xtqwdhxkhw/edit?usp=sharing"",""ปทุมธานี!I382"")"),0)</f>
        <v>0</v>
      </c>
      <c r="J487" s="420">
        <f ca="1">IFERROR(__xludf.DUMMYFUNCTION("IMPORTRANGE(""https://docs.google.com/spreadsheets/d/1SX6NBoVAgQJ6U1MVXOaj8PK2l7WJ3RER9xtqwdhxkhw/edit?usp=sharing"",""ปทุมธานี!J382"")"),0)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IFERROR(__xludf.DUMMYFUNCTION("IMPORTRANGE(""https://docs.google.com/spreadsheets/d/1SX6NBoVAgQJ6U1MVXOaj8PK2l7WJ3RER9xtqwdhxkhw/edit?usp=sharing"",""ปทุมธานี!I383"")"),0)</f>
        <v>0</v>
      </c>
      <c r="J488" s="420">
        <f ca="1">IFERROR(__xludf.DUMMYFUNCTION("IMPORTRANGE(""https://docs.google.com/spreadsheets/d/1SX6NBoVAgQJ6U1MVXOaj8PK2l7WJ3RER9xtqwdhxkhw/edit?usp=sharing"",""ปทุมธานี!J383"")"),0)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IFERROR(__xludf.DUMMYFUNCTION("IMPORTRANGE(""https://docs.google.com/spreadsheets/d/1SX6NBoVAgQJ6U1MVXOaj8PK2l7WJ3RER9xtqwdhxkhw/edit?usp=sharing"",""ปทุมธานี!I384"")"),0)</f>
        <v>0</v>
      </c>
      <c r="J489" s="189">
        <f ca="1">IFERROR(__xludf.DUMMYFUNCTION("IMPORTRANGE(""https://docs.google.com/spreadsheets/d/1SX6NBoVAgQJ6U1MVXOaj8PK2l7WJ3RER9xtqwdhxkhw/edit?usp=sharing"",""ปทุมธานี!J384"")"),0)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IFERROR(__xludf.DUMMYFUNCTION("IMPORTRANGE(""https://docs.google.com/spreadsheets/d/1SX6NBoVAgQJ6U1MVXOaj8PK2l7WJ3RER9xtqwdhxkhw/edit?usp=sharing"",""ปทุมธานี!I385"")"),0)</f>
        <v>0</v>
      </c>
      <c r="J490" s="189">
        <f ca="1">IFERROR(__xludf.DUMMYFUNCTION("IMPORTRANGE(""https://docs.google.com/spreadsheets/d/1SX6NBoVAgQJ6U1MVXOaj8PK2l7WJ3RER9xtqwdhxkhw/edit?usp=sharing"",""ปทุมธานี!J385"")"),0)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IFERROR(__xludf.DUMMYFUNCTION("IMPORTRANGE(""https://docs.google.com/spreadsheets/d/1SX6NBoVAgQJ6U1MVXOaj8PK2l7WJ3RER9xtqwdhxkhw/edit?usp=sharing"",""ปทุมธานี!I386"")"),0)</f>
        <v>0</v>
      </c>
      <c r="J491" s="189">
        <f ca="1">IFERROR(__xludf.DUMMYFUNCTION("IMPORTRANGE(""https://docs.google.com/spreadsheets/d/1SX6NBoVAgQJ6U1MVXOaj8PK2l7WJ3RER9xtqwdhxkhw/edit?usp=sharing"",""ปทุมธานี!J386"")"),0)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IFERROR(__xludf.DUMMYFUNCTION("IMPORTRANGE(""https://docs.google.com/spreadsheets/d/1SX6NBoVAgQJ6U1MVXOaj8PK2l7WJ3RER9xtqwdhxkhw/edit?usp=sharing"",""ปทุมธานี!I387"")"),0)</f>
        <v>0</v>
      </c>
      <c r="J492" s="189">
        <f ca="1">IFERROR(__xludf.DUMMYFUNCTION("IMPORTRANGE(""https://docs.google.com/spreadsheets/d/1SX6NBoVAgQJ6U1MVXOaj8PK2l7WJ3RER9xtqwdhxkhw/edit?usp=sharing"",""ปทุมธานี!J387"")"),0)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IFERROR(__xludf.DUMMYFUNCTION("IMPORTRANGE(""https://docs.google.com/spreadsheets/d/1SX6NBoVAgQJ6U1MVXOaj8PK2l7WJ3RER9xtqwdhxkhw/edit?usp=sharing"",""ปทุมธานี!I388"")"),0)</f>
        <v>0</v>
      </c>
      <c r="J493" s="189">
        <f ca="1">IFERROR(__xludf.DUMMYFUNCTION("IMPORTRANGE(""https://docs.google.com/spreadsheets/d/1SX6NBoVAgQJ6U1MVXOaj8PK2l7WJ3RER9xtqwdhxkhw/edit?usp=sharing"",""ปทุมธานี!J388"")"),0)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IFERROR(__xludf.DUMMYFUNCTION("IMPORTRANGE(""https://docs.google.com/spreadsheets/d/1SX6NBoVAgQJ6U1MVXOaj8PK2l7WJ3RER9xtqwdhxkhw/edit?usp=sharing"",""ปทุมธานี!I389"")"),0)</f>
        <v>0</v>
      </c>
      <c r="J494" s="436">
        <f ca="1">IFERROR(__xludf.DUMMYFUNCTION("IMPORTRANGE(""https://docs.google.com/spreadsheets/d/1SX6NBoVAgQJ6U1MVXOaj8PK2l7WJ3RER9xtqwdhxkhw/edit?usp=sharing"",""ปทุมธานี!J389"")"),0)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IFERROR(__xludf.DUMMYFUNCTION("IMPORTRANGE(""https://docs.google.com/spreadsheets/d/1SX6NBoVAgQJ6U1MVXOaj8PK2l7WJ3RER9xtqwdhxkhw/edit?usp=sharing"",""ปทุมธานี!I390"")"),0)</f>
        <v>0</v>
      </c>
      <c r="J495" s="436">
        <f ca="1">IFERROR(__xludf.DUMMYFUNCTION("IMPORTRANGE(""https://docs.google.com/spreadsheets/d/1SX6NBoVAgQJ6U1MVXOaj8PK2l7WJ3RER9xtqwdhxkhw/edit?usp=sharing"",""ปทุมธานี!J390"")"),0)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IFERROR(__xludf.DUMMYFUNCTION("IMPORTRANGE(""https://docs.google.com/spreadsheets/d/1SX6NBoVAgQJ6U1MVXOaj8PK2l7WJ3RER9xtqwdhxkhw/edit?usp=sharing"",""ปทุมธานี!I391"")"),0)</f>
        <v>0</v>
      </c>
      <c r="J496" s="436">
        <f ca="1">IFERROR(__xludf.DUMMYFUNCTION("IMPORTRANGE(""https://docs.google.com/spreadsheets/d/1SX6NBoVAgQJ6U1MVXOaj8PK2l7WJ3RER9xtqwdhxkhw/edit?usp=sharing"",""ปทุมธานี!J391"")"),0)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IFERROR(__xludf.DUMMYFUNCTION("IMPORTRANGE(""https://docs.google.com/spreadsheets/d/1SX6NBoVAgQJ6U1MVXOaj8PK2l7WJ3RER9xtqwdhxkhw/edit?usp=sharing"",""ปทุมธานี!I392"")"),0)</f>
        <v>0</v>
      </c>
      <c r="J497" s="443">
        <f ca="1">IFERROR(__xludf.DUMMYFUNCTION("IMPORTRANGE(""https://docs.google.com/spreadsheets/d/1SX6NBoVAgQJ6U1MVXOaj8PK2l7WJ3RER9xtqwdhxkhw/edit?usp=sharing"",""ปทุมธานี!J392"")"),0)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IFERROR(__xludf.DUMMYFUNCTION("IMPORTRANGE(""https://docs.google.com/spreadsheets/d/1SX6NBoVAgQJ6U1MVXOaj8PK2l7WJ3RER9xtqwdhxkhw/edit?usp=sharing"",""ปทุมธานี!I393"")"),0)</f>
        <v>0</v>
      </c>
      <c r="J498" s="420">
        <f ca="1">IFERROR(__xludf.DUMMYFUNCTION("IMPORTRANGE(""https://docs.google.com/spreadsheets/d/1SX6NBoVAgQJ6U1MVXOaj8PK2l7WJ3RER9xtqwdhxkhw/edit?usp=sharing"",""ปทุมธานี!J393"")"),0)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IFERROR(__xludf.DUMMYFUNCTION("IMPORTRANGE(""https://docs.google.com/spreadsheets/d/1SX6NBoVAgQJ6U1MVXOaj8PK2l7WJ3RER9xtqwdhxkhw/edit?usp=sharing"",""ปทุมธานี!I394"")"),0)</f>
        <v>0</v>
      </c>
      <c r="J499" s="420">
        <f ca="1">IFERROR(__xludf.DUMMYFUNCTION("IMPORTRANGE(""https://docs.google.com/spreadsheets/d/1SX6NBoVAgQJ6U1MVXOaj8PK2l7WJ3RER9xtqwdhxkhw/edit?usp=sharing"",""ปทุมธานี!J394"")"),0)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IFERROR(__xludf.DUMMYFUNCTION("IMPORTRANGE(""https://docs.google.com/spreadsheets/d/1SX6NBoVAgQJ6U1MVXOaj8PK2l7WJ3RER9xtqwdhxkhw/edit?usp=sharing"",""ปทุมธานี!I395"")"),0)</f>
        <v>0</v>
      </c>
      <c r="J500" s="162">
        <f ca="1">IFERROR(__xludf.DUMMYFUNCTION("IMPORTRANGE(""https://docs.google.com/spreadsheets/d/1SX6NBoVAgQJ6U1MVXOaj8PK2l7WJ3RER9xtqwdhxkhw/edit?usp=sharing"",""ปทุมธานี!J395"")"),0)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IFERROR(__xludf.DUMMYFUNCTION("IMPORTRANGE(""https://docs.google.com/spreadsheets/d/1SX6NBoVAgQJ6U1MVXOaj8PK2l7WJ3RER9xtqwdhxkhw/edit?usp=sharing"",""ปทุมธานี!I396"")"),0)</f>
        <v>0</v>
      </c>
      <c r="J501" s="162">
        <f ca="1">IFERROR(__xludf.DUMMYFUNCTION("IMPORTRANGE(""https://docs.google.com/spreadsheets/d/1SX6NBoVAgQJ6U1MVXOaj8PK2l7WJ3RER9xtqwdhxkhw/edit?usp=sharing"",""ปทุมธานี!J396"")"),0)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IFERROR(__xludf.DUMMYFUNCTION("IMPORTRANGE(""https://docs.google.com/spreadsheets/d/1SX6NBoVAgQJ6U1MVXOaj8PK2l7WJ3RER9xtqwdhxkhw/edit?usp=sharing"",""ปทุมธานี!I397"")"),0)</f>
        <v>0</v>
      </c>
      <c r="J502" s="189">
        <f ca="1">IFERROR(__xludf.DUMMYFUNCTION("IMPORTRANGE(""https://docs.google.com/spreadsheets/d/1SX6NBoVAgQJ6U1MVXOaj8PK2l7WJ3RER9xtqwdhxkhw/edit?usp=sharing"",""ปทุมธานี!J397"")"),0)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IFERROR(__xludf.DUMMYFUNCTION("IMPORTRANGE(""https://docs.google.com/spreadsheets/d/1SX6NBoVAgQJ6U1MVXOaj8PK2l7WJ3RER9xtqwdhxkhw/edit?usp=sharing"",""ปทุมธานี!I398"")"),0)</f>
        <v>0</v>
      </c>
      <c r="J503" s="198">
        <f ca="1">IFERROR(__xludf.DUMMYFUNCTION("IMPORTRANGE(""https://docs.google.com/spreadsheets/d/1SX6NBoVAgQJ6U1MVXOaj8PK2l7WJ3RER9xtqwdhxkhw/edit?usp=sharing"",""ปทุมธานี!J398"")"),0)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IFERROR(__xludf.DUMMYFUNCTION("IMPORTRANGE(""https://docs.google.com/spreadsheets/d/1SX6NBoVAgQJ6U1MVXOaj8PK2l7WJ3RER9xtqwdhxkhw/edit?usp=sharing"",""ปทุมธานี!I399"")"),0)</f>
        <v>0</v>
      </c>
      <c r="J504" s="189">
        <f ca="1">IFERROR(__xludf.DUMMYFUNCTION("IMPORTRANGE(""https://docs.google.com/spreadsheets/d/1SX6NBoVAgQJ6U1MVXOaj8PK2l7WJ3RER9xtqwdhxkhw/edit?usp=sharing"",""ปทุมธานี!J399"")"),0)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IFERROR(__xludf.DUMMYFUNCTION("IMPORTRANGE(""https://docs.google.com/spreadsheets/d/1SX6NBoVAgQJ6U1MVXOaj8PK2l7WJ3RER9xtqwdhxkhw/edit?usp=sharing"",""ปทุมธานี!I400"")"),0)</f>
        <v>0</v>
      </c>
      <c r="J505" s="198">
        <f ca="1">IFERROR(__xludf.DUMMYFUNCTION("IMPORTRANGE(""https://docs.google.com/spreadsheets/d/1SX6NBoVAgQJ6U1MVXOaj8PK2l7WJ3RER9xtqwdhxkhw/edit?usp=sharing"",""ปทุมธานี!J400"")"),0)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IFERROR(__xludf.DUMMYFUNCTION("IMPORTRANGE(""https://docs.google.com/spreadsheets/d/1SX6NBoVAgQJ6U1MVXOaj8PK2l7WJ3RER9xtqwdhxkhw/edit?usp=sharing"",""ปทุมธานี!I401"")"),0)</f>
        <v>0</v>
      </c>
      <c r="J506" s="189">
        <f ca="1">IFERROR(__xludf.DUMMYFUNCTION("IMPORTRANGE(""https://docs.google.com/spreadsheets/d/1SX6NBoVAgQJ6U1MVXOaj8PK2l7WJ3RER9xtqwdhxkhw/edit?usp=sharing"",""ปทุมธานี!J401"")"),0)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IFERROR(__xludf.DUMMYFUNCTION("IMPORTRANGE(""https://docs.google.com/spreadsheets/d/1SX6NBoVAgQJ6U1MVXOaj8PK2l7WJ3RER9xtqwdhxkhw/edit?usp=sharing"",""ปทุมธานี!I402"")"),0)</f>
        <v>0</v>
      </c>
      <c r="J507" s="198">
        <f ca="1">IFERROR(__xludf.DUMMYFUNCTION("IMPORTRANGE(""https://docs.google.com/spreadsheets/d/1SX6NBoVAgQJ6U1MVXOaj8PK2l7WJ3RER9xtqwdhxkhw/edit?usp=sharing"",""ปทุมธานี!J402"")"),0)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IFERROR(__xludf.DUMMYFUNCTION("IMPORTRANGE(""https://docs.google.com/spreadsheets/d/1SX6NBoVAgQJ6U1MVXOaj8PK2l7WJ3RER9xtqwdhxkhw/edit?usp=sharing"",""ปทุมธานี!I403"")"),0)</f>
        <v>0</v>
      </c>
      <c r="J508" s="162">
        <f ca="1">IFERROR(__xludf.DUMMYFUNCTION("IMPORTRANGE(""https://docs.google.com/spreadsheets/d/1SX6NBoVAgQJ6U1MVXOaj8PK2l7WJ3RER9xtqwdhxkhw/edit?usp=sharing"",""ปทุมธานี!J403"")"),0)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IFERROR(__xludf.DUMMYFUNCTION("IMPORTRANGE(""https://docs.google.com/spreadsheets/d/1SX6NBoVAgQJ6U1MVXOaj8PK2l7WJ3RER9xtqwdhxkhw/edit?usp=sharing"",""ปทุมธานี!I404"")"),0)</f>
        <v>0</v>
      </c>
      <c r="J509" s="162">
        <f ca="1">IFERROR(__xludf.DUMMYFUNCTION("IMPORTRANGE(""https://docs.google.com/spreadsheets/d/1SX6NBoVAgQJ6U1MVXOaj8PK2l7WJ3RER9xtqwdhxkhw/edit?usp=sharing"",""ปทุมธานี!J404"")"),0)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IFERROR(__xludf.DUMMYFUNCTION("IMPORTRANGE(""https://docs.google.com/spreadsheets/d/1SX6NBoVAgQJ6U1MVXOaj8PK2l7WJ3RER9xtqwdhxkhw/edit?usp=sharing"",""ปทุมธานี!I405"")"),0)</f>
        <v>0</v>
      </c>
      <c r="J510" s="198">
        <f ca="1">IFERROR(__xludf.DUMMYFUNCTION("IMPORTRANGE(""https://docs.google.com/spreadsheets/d/1SX6NBoVAgQJ6U1MVXOaj8PK2l7WJ3RER9xtqwdhxkhw/edit?usp=sharing"",""ปทุมธานี!J405"")"),0)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IFERROR(__xludf.DUMMYFUNCTION("IMPORTRANGE(""https://docs.google.com/spreadsheets/d/1SX6NBoVAgQJ6U1MVXOaj8PK2l7WJ3RER9xtqwdhxkhw/edit?usp=sharing"",""ปทุมธานี!I406"")"),0)</f>
        <v>0</v>
      </c>
      <c r="J511" s="198">
        <f ca="1">IFERROR(__xludf.DUMMYFUNCTION("IMPORTRANGE(""https://docs.google.com/spreadsheets/d/1SX6NBoVAgQJ6U1MVXOaj8PK2l7WJ3RER9xtqwdhxkhw/edit?usp=sharing"",""ปทุมธานี!J406"")"),0)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IFERROR(__xludf.DUMMYFUNCTION("IMPORTRANGE(""https://docs.google.com/spreadsheets/d/1SX6NBoVAgQJ6U1MVXOaj8PK2l7WJ3RER9xtqwdhxkhw/edit?usp=sharing"",""ปทุมธานี!I407"")"),0)</f>
        <v>0</v>
      </c>
      <c r="J512" s="198">
        <f ca="1">IFERROR(__xludf.DUMMYFUNCTION("IMPORTRANGE(""https://docs.google.com/spreadsheets/d/1SX6NBoVAgQJ6U1MVXOaj8PK2l7WJ3RER9xtqwdhxkhw/edit?usp=sharing"",""ปทุมธานี!J407"")"),0)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IFERROR(__xludf.DUMMYFUNCTION("IMPORTRANGE(""https://docs.google.com/spreadsheets/d/1SX6NBoVAgQJ6U1MVXOaj8PK2l7WJ3RER9xtqwdhxkhw/edit?usp=sharing"",""ปทุมธานี!I408"")"),0)</f>
        <v>0</v>
      </c>
      <c r="J513" s="198">
        <f ca="1">IFERROR(__xludf.DUMMYFUNCTION("IMPORTRANGE(""https://docs.google.com/spreadsheets/d/1SX6NBoVAgQJ6U1MVXOaj8PK2l7WJ3RER9xtqwdhxkhw/edit?usp=sharing"",""ปทุมธานี!J408"")"),0)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IFERROR(__xludf.DUMMYFUNCTION("IMPORTRANGE(""https://docs.google.com/spreadsheets/d/1SX6NBoVAgQJ6U1MVXOaj8PK2l7WJ3RER9xtqwdhxkhw/edit?usp=sharing"",""ปทุมธานี!I409"")"),0)</f>
        <v>0</v>
      </c>
      <c r="J514" s="198">
        <f ca="1">IFERROR(__xludf.DUMMYFUNCTION("IMPORTRANGE(""https://docs.google.com/spreadsheets/d/1SX6NBoVAgQJ6U1MVXOaj8PK2l7WJ3RER9xtqwdhxkhw/edit?usp=sharing"",""ปทุมธานี!J409"")"),0)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IFERROR(__xludf.DUMMYFUNCTION("IMPORTRANGE(""https://docs.google.com/spreadsheets/d/1SX6NBoVAgQJ6U1MVXOaj8PK2l7WJ3RER9xtqwdhxkhw/edit?usp=sharing"",""ปทุมธานี!I410"")"),0)</f>
        <v>0</v>
      </c>
      <c r="J515" s="198">
        <f ca="1">IFERROR(__xludf.DUMMYFUNCTION("IMPORTRANGE(""https://docs.google.com/spreadsheets/d/1SX6NBoVAgQJ6U1MVXOaj8PK2l7WJ3RER9xtqwdhxkhw/edit?usp=sharing"",""ปทุมธานี!J410"")"),0)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IFERROR(__xludf.DUMMYFUNCTION("IMPORTRANGE(""https://docs.google.com/spreadsheets/d/1SX6NBoVAgQJ6U1MVXOaj8PK2l7WJ3RER9xtqwdhxkhw/edit?usp=sharing"",""ปทุมธานี!I411"")"),0)</f>
        <v>0</v>
      </c>
      <c r="J516" s="268">
        <f ca="1">IFERROR(__xludf.DUMMYFUNCTION("IMPORTRANGE(""https://docs.google.com/spreadsheets/d/1SX6NBoVAgQJ6U1MVXOaj8PK2l7WJ3RER9xtqwdhxkhw/edit?usp=sharing"",""ปทุมธานี!J411"")"),0)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IFERROR(__xludf.DUMMYFUNCTION("IMPORTRANGE(""https://docs.google.com/spreadsheets/d/1SX6NBoVAgQJ6U1MVXOaj8PK2l7WJ3RER9xtqwdhxkhw/edit?usp=sharing"",""ปทุมธานี!I412"")"),0)</f>
        <v>0</v>
      </c>
      <c r="J517" s="285">
        <f ca="1">IFERROR(__xludf.DUMMYFUNCTION("IMPORTRANGE(""https://docs.google.com/spreadsheets/d/1SX6NBoVAgQJ6U1MVXOaj8PK2l7WJ3RER9xtqwdhxkhw/edit?usp=sharing"",""ปทุมธานี!J412"")"),0)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IFERROR(__xludf.DUMMYFUNCTION("IMPORTRANGE(""https://docs.google.com/spreadsheets/d/1SX6NBoVAgQJ6U1MVXOaj8PK2l7WJ3RER9xtqwdhxkhw/edit?usp=sharing"",""ปทุมธานี!I413"")"),0)</f>
        <v>0</v>
      </c>
      <c r="J518" s="285">
        <f ca="1">IFERROR(__xludf.DUMMYFUNCTION("IMPORTRANGE(""https://docs.google.com/spreadsheets/d/1SX6NBoVAgQJ6U1MVXOaj8PK2l7WJ3RER9xtqwdhxkhw/edit?usp=sharing"",""ปทุมธานี!J413"")"),0)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IFERROR(__xludf.DUMMYFUNCTION("IMPORTRANGE(""https://docs.google.com/spreadsheets/d/1SX6NBoVAgQJ6U1MVXOaj8PK2l7WJ3RER9xtqwdhxkhw/edit?usp=sharing"",""ปทุมธานี!I414"")"),0)</f>
        <v>0</v>
      </c>
      <c r="J519" s="188">
        <f ca="1">IFERROR(__xludf.DUMMYFUNCTION("IMPORTRANGE(""https://docs.google.com/spreadsheets/d/1SX6NBoVAgQJ6U1MVXOaj8PK2l7WJ3RER9xtqwdhxkhw/edit?usp=sharing"",""ปทุมธานี!J414"")"),0)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IFERROR(__xludf.DUMMYFUNCTION("IMPORTRANGE(""https://docs.google.com/spreadsheets/d/1SX6NBoVAgQJ6U1MVXOaj8PK2l7WJ3RER9xtqwdhxkhw/edit?usp=sharing"",""ปทุมธานี!I415"")"),0)</f>
        <v>0</v>
      </c>
      <c r="J520" s="188">
        <f ca="1">IFERROR(__xludf.DUMMYFUNCTION("IMPORTRANGE(""https://docs.google.com/spreadsheets/d/1SX6NBoVAgQJ6U1MVXOaj8PK2l7WJ3RER9xtqwdhxkhw/edit?usp=sharing"",""ปทุมธานี!J415"")"),0)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IFERROR(__xludf.DUMMYFUNCTION("IMPORTRANGE(""https://docs.google.com/spreadsheets/d/1SX6NBoVAgQJ6U1MVXOaj8PK2l7WJ3RER9xtqwdhxkhw/edit?usp=sharing"",""ปทุมธานี!I416"")"),0)</f>
        <v>0</v>
      </c>
      <c r="J521" s="188">
        <f ca="1">IFERROR(__xludf.DUMMYFUNCTION("IMPORTRANGE(""https://docs.google.com/spreadsheets/d/1SX6NBoVAgQJ6U1MVXOaj8PK2l7WJ3RER9xtqwdhxkhw/edit?usp=sharing"",""ปทุมธานี!J416"")"),0)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IFERROR(__xludf.DUMMYFUNCTION("IMPORTRANGE(""https://docs.google.com/spreadsheets/d/1SX6NBoVAgQJ6U1MVXOaj8PK2l7WJ3RER9xtqwdhxkhw/edit?usp=sharing"",""ปทุมธานี!I417"")"),0)</f>
        <v>0</v>
      </c>
      <c r="J522" s="188">
        <f ca="1">IFERROR(__xludf.DUMMYFUNCTION("IMPORTRANGE(""https://docs.google.com/spreadsheets/d/1SX6NBoVAgQJ6U1MVXOaj8PK2l7WJ3RER9xtqwdhxkhw/edit?usp=sharing"",""ปทุมธานี!J417"")"),0)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IFERROR(__xludf.DUMMYFUNCTION("IMPORTRANGE(""https://docs.google.com/spreadsheets/d/1SX6NBoVAgQJ6U1MVXOaj8PK2l7WJ3RER9xtqwdhxkhw/edit?usp=sharing"",""ปทุมธานี!I418"")"),0)</f>
        <v>0</v>
      </c>
      <c r="J523" s="188">
        <f ca="1">IFERROR(__xludf.DUMMYFUNCTION("IMPORTRANGE(""https://docs.google.com/spreadsheets/d/1SX6NBoVAgQJ6U1MVXOaj8PK2l7WJ3RER9xtqwdhxkhw/edit?usp=sharing"",""ปทุมธานี!J418"")"),0)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IFERROR(__xludf.DUMMYFUNCTION("IMPORTRANGE(""https://docs.google.com/spreadsheets/d/1SX6NBoVAgQJ6U1MVXOaj8PK2l7WJ3RER9xtqwdhxkhw/edit?usp=sharing"",""ปทุมธานี!I419"")"),0)</f>
        <v>0</v>
      </c>
      <c r="J524" s="188">
        <f ca="1">IFERROR(__xludf.DUMMYFUNCTION("IMPORTRANGE(""https://docs.google.com/spreadsheets/d/1SX6NBoVAgQJ6U1MVXOaj8PK2l7WJ3RER9xtqwdhxkhw/edit?usp=sharing"",""ปทุมธานี!J419"")"),0)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IFERROR(__xludf.DUMMYFUNCTION("IMPORTRANGE(""https://docs.google.com/spreadsheets/d/1SX6NBoVAgQJ6U1MVXOaj8PK2l7WJ3RER9xtqwdhxkhw/edit?usp=sharing"",""ปทุมธานี!I420"")"),0)</f>
        <v>0</v>
      </c>
      <c r="J525" s="285">
        <f ca="1">IFERROR(__xludf.DUMMYFUNCTION("IMPORTRANGE(""https://docs.google.com/spreadsheets/d/1SX6NBoVAgQJ6U1MVXOaj8PK2l7WJ3RER9xtqwdhxkhw/edit?usp=sharing"",""ปทุมธานี!J420"")"),0)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IFERROR(__xludf.DUMMYFUNCTION("IMPORTRANGE(""https://docs.google.com/spreadsheets/d/1SX6NBoVAgQJ6U1MVXOaj8PK2l7WJ3RER9xtqwdhxkhw/edit?usp=sharing"",""ปทุมธานี!I421"")"),0)</f>
        <v>0</v>
      </c>
      <c r="J526" s="285">
        <f ca="1">IFERROR(__xludf.DUMMYFUNCTION("IMPORTRANGE(""https://docs.google.com/spreadsheets/d/1SX6NBoVAgQJ6U1MVXOaj8PK2l7WJ3RER9xtqwdhxkhw/edit?usp=sharing"",""ปทุมธานี!J421"")"),0)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IFERROR(__xludf.DUMMYFUNCTION("IMPORTRANGE(""https://docs.google.com/spreadsheets/d/1SX6NBoVAgQJ6U1MVXOaj8PK2l7WJ3RER9xtqwdhxkhw/edit?usp=sharing"",""ปทุมธานี!I422"")"),0)</f>
        <v>0</v>
      </c>
      <c r="J527" s="198">
        <f ca="1">IFERROR(__xludf.DUMMYFUNCTION("IMPORTRANGE(""https://docs.google.com/spreadsheets/d/1SX6NBoVAgQJ6U1MVXOaj8PK2l7WJ3RER9xtqwdhxkhw/edit?usp=sharing"",""ปทุมธานี!J422"")"),0)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IFERROR(__xludf.DUMMYFUNCTION("IMPORTRANGE(""https://docs.google.com/spreadsheets/d/1SX6NBoVAgQJ6U1MVXOaj8PK2l7WJ3RER9xtqwdhxkhw/edit?usp=sharing"",""ปทุมธานี!I423"")"),0)</f>
        <v>0</v>
      </c>
      <c r="J528" s="198">
        <f ca="1">IFERROR(__xludf.DUMMYFUNCTION("IMPORTRANGE(""https://docs.google.com/spreadsheets/d/1SX6NBoVAgQJ6U1MVXOaj8PK2l7WJ3RER9xtqwdhxkhw/edit?usp=sharing"",""ปทุมธานี!J423"")"),0)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IFERROR(__xludf.DUMMYFUNCTION("IMPORTRANGE(""https://docs.google.com/spreadsheets/d/1SX6NBoVAgQJ6U1MVXOaj8PK2l7WJ3RER9xtqwdhxkhw/edit?usp=sharing"",""ปทุมธานี!I424"")"),0)</f>
        <v>0</v>
      </c>
      <c r="J529" s="198">
        <f ca="1">IFERROR(__xludf.DUMMYFUNCTION("IMPORTRANGE(""https://docs.google.com/spreadsheets/d/1SX6NBoVAgQJ6U1MVXOaj8PK2l7WJ3RER9xtqwdhxkhw/edit?usp=sharing"",""ปทุมธานี!J424"")"),0)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IFERROR(__xludf.DUMMYFUNCTION("IMPORTRANGE(""https://docs.google.com/spreadsheets/d/1SX6NBoVAgQJ6U1MVXOaj8PK2l7WJ3RER9xtqwdhxkhw/edit?usp=sharing"",""ปทุมธานี!I425"")"),0)</f>
        <v>0</v>
      </c>
      <c r="J530" s="198">
        <f ca="1">IFERROR(__xludf.DUMMYFUNCTION("IMPORTRANGE(""https://docs.google.com/spreadsheets/d/1SX6NBoVAgQJ6U1MVXOaj8PK2l7WJ3RER9xtqwdhxkhw/edit?usp=sharing"",""ปทุมธานี!J425"")"),0)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IFERROR(__xludf.DUMMYFUNCTION("IMPORTRANGE(""https://docs.google.com/spreadsheets/d/1SX6NBoVAgQJ6U1MVXOaj8PK2l7WJ3RER9xtqwdhxkhw/edit?usp=sharing"",""ปทุมธานี!I426"")"),0)</f>
        <v>0</v>
      </c>
      <c r="J531" s="198">
        <f ca="1">IFERROR(__xludf.DUMMYFUNCTION("IMPORTRANGE(""https://docs.google.com/spreadsheets/d/1SX6NBoVAgQJ6U1MVXOaj8PK2l7WJ3RER9xtqwdhxkhw/edit?usp=sharing"",""ปทุมธานี!J426"")"),0)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IFERROR(__xludf.DUMMYFUNCTION("IMPORTRANGE(""https://docs.google.com/spreadsheets/d/1SX6NBoVAgQJ6U1MVXOaj8PK2l7WJ3RER9xtqwdhxkhw/edit?usp=sharing"",""ปทุมธานี!I427"")"),0)</f>
        <v>0</v>
      </c>
      <c r="J532" s="466">
        <f ca="1">IFERROR(__xludf.DUMMYFUNCTION("IMPORTRANGE(""https://docs.google.com/spreadsheets/d/1SX6NBoVAgQJ6U1MVXOaj8PK2l7WJ3RER9xtqwdhxkhw/edit?usp=sharing"",""ปทุมธานี!J427"")"),0)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IFERROR(__xludf.DUMMYFUNCTION("IMPORTRANGE(""https://docs.google.com/spreadsheets/d/1SX6NBoVAgQJ6U1MVXOaj8PK2l7WJ3RER9xtqwdhxkhw/edit?usp=sharing"",""ปทุมธานี!I428"")"),22)</f>
        <v>22</v>
      </c>
      <c r="J533" s="410">
        <f ca="1">IFERROR(__xludf.DUMMYFUNCTION("IMPORTRANGE(""https://docs.google.com/spreadsheets/d/1SX6NBoVAgQJ6U1MVXOaj8PK2l7WJ3RER9xtqwdhxkhw/edit?usp=sharing"",""ปทุมธานี!J428"")"),22)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IFERROR(__xludf.DUMMYFUNCTION("IMPORTRANGE(""https://docs.google.com/spreadsheets/d/1SX6NBoVAgQJ6U1MVXOaj8PK2l7WJ3RER9xtqwdhxkhw/edit?usp=sharing"",""ปทุมธานี!L428"")"),34340)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IFERROR(__xludf.DUMMYFUNCTION("IMPORTRANGE(""https://docs.google.com/spreadsheets/d/1SX6NBoVAgQJ6U1MVXOaj8PK2l7WJ3RER9xtqwdhxkhw/edit?usp=sharing"",""ปทุมธานี!M428"")"),32607.02)</f>
        <v>32607.02</v>
      </c>
      <c r="O533" s="412">
        <f t="shared" ref="O533:O537" ca="1" si="118">+IF(L533&gt;0,N533*100/L533,0)</f>
        <v>94.953465346534657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IFERROR(__xludf.DUMMYFUNCTION("IMPORTRANGE(""https://docs.google.com/spreadsheets/d/1SX6NBoVAgQJ6U1MVXOaj8PK2l7WJ3RER9xtqwdhxkhw/edit?usp=sharing"",""ปทุมธานี!L429"")"),0)</f>
        <v>0</v>
      </c>
      <c r="M534" s="164"/>
      <c r="N534" s="169">
        <f ca="1">IFERROR(__xludf.DUMMYFUNCTION("IMPORTRANGE(""https://docs.google.com/spreadsheets/d/1SX6NBoVAgQJ6U1MVXOaj8PK2l7WJ3RER9xtqwdhxkhw/edit?usp=sharing"",""ปทุมธานี!M429"")"),0)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IFERROR(__xludf.DUMMYFUNCTION("IMPORTRANGE(""https://docs.google.com/spreadsheets/d/1SX6NBoVAgQJ6U1MVXOaj8PK2l7WJ3RER9xtqwdhxkhw/edit?usp=sharing"",""ปทุมธานี!L430"")"),34340)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IFERROR(__xludf.DUMMYFUNCTION("IMPORTRANGE(""https://docs.google.com/spreadsheets/d/1SX6NBoVAgQJ6U1MVXOaj8PK2l7WJ3RER9xtqwdhxkhw/edit?usp=sharing"",""ปทุมธานี!M430"")"),32607.02)</f>
        <v>32607.02</v>
      </c>
      <c r="O535" s="169">
        <f t="shared" ca="1" si="118"/>
        <v>94.953465346534657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IFERROR(__xludf.DUMMYFUNCTION("IMPORTRANGE(""https://docs.google.com/spreadsheets/d/1SX6NBoVAgQJ6U1MVXOaj8PK2l7WJ3RER9xtqwdhxkhw/edit?usp=sharing"",""ปทุมธานี!L431"")"),0)</f>
        <v>0</v>
      </c>
      <c r="M536" s="169"/>
      <c r="N536" s="169">
        <f ca="1">IFERROR(__xludf.DUMMYFUNCTION("IMPORTRANGE(""https://docs.google.com/spreadsheets/d/1SX6NBoVAgQJ6U1MVXOaj8PK2l7WJ3RER9xtqwdhxkhw/edit?usp=sharing"",""ปทุมธานี!M431"")"),0)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IFERROR(__xludf.DUMMYFUNCTION("IMPORTRANGE(""https://docs.google.com/spreadsheets/d/1SX6NBoVAgQJ6U1MVXOaj8PK2l7WJ3RER9xtqwdhxkhw/edit?usp=sharing"",""ปทุมธานี!L432"")"),34340)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IFERROR(__xludf.DUMMYFUNCTION("IMPORTRANGE(""https://docs.google.com/spreadsheets/d/1SX6NBoVAgQJ6U1MVXOaj8PK2l7WJ3RER9xtqwdhxkhw/edit?usp=sharing"",""ปทุมธานี!M432"")"),32607.02)</f>
        <v>32607.02</v>
      </c>
      <c r="O537" s="169">
        <f t="shared" ca="1" si="118"/>
        <v>94.953465346534657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IFERROR(__xludf.DUMMYFUNCTION("IMPORTRANGE(""https://docs.google.com/spreadsheets/d/1SX6NBoVAgQJ6U1MVXOaj8PK2l7WJ3RER9xtqwdhxkhw/edit?usp=sharing"",""ปทุมธานี!M433"")"),21527.02)</f>
        <v>21527.02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IFERROR(__xludf.DUMMYFUNCTION("IMPORTRANGE(""https://docs.google.com/spreadsheets/d/1SX6NBoVAgQJ6U1MVXOaj8PK2l7WJ3RER9xtqwdhxkhw/edit?usp=sharing"",""ปทุมธานี!M434"")"),0)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IFERROR(__xludf.DUMMYFUNCTION("IMPORTRANGE(""https://docs.google.com/spreadsheets/d/1SX6NBoVAgQJ6U1MVXOaj8PK2l7WJ3RER9xtqwdhxkhw/edit?usp=sharing"",""ปทุมธานี!M435"")"),0)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IFERROR(__xludf.DUMMYFUNCTION("IMPORTRANGE(""https://docs.google.com/spreadsheets/d/1SX6NBoVAgQJ6U1MVXOaj8PK2l7WJ3RER9xtqwdhxkhw/edit?usp=sharing"",""ปทุมธานี!M436"")"),11080)</f>
        <v>11080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IFERROR(__xludf.DUMMYFUNCTION("IMPORTRANGE(""https://docs.google.com/spreadsheets/d/1SX6NBoVAgQJ6U1MVXOaj8PK2l7WJ3RER9xtqwdhxkhw/edit?usp=sharing"",""ปทุมธานี!J438"")"),0)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IFERROR(__xludf.DUMMYFUNCTION("IMPORTRANGE(""https://docs.google.com/spreadsheets/d/1SX6NBoVAgQJ6U1MVXOaj8PK2l7WJ3RER9xtqwdhxkhw/edit?usp=sharing"",""ปทุมธานี!J439"")"),0)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IFERROR(__xludf.DUMMYFUNCTION("IMPORTRANGE(""https://docs.google.com/spreadsheets/d/1SX6NBoVAgQJ6U1MVXOaj8PK2l7WJ3RER9xtqwdhxkhw/edit?usp=sharing"",""ปทุมธานี!J440"")"),1)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IFERROR(__xludf.DUMMYFUNCTION("IMPORTRANGE(""https://docs.google.com/spreadsheets/d/1SX6NBoVAgQJ6U1MVXOaj8PK2l7WJ3RER9xtqwdhxkhw/edit?usp=sharing"",""ปทุมธานี!J441"")"),1)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IFERROR(__xludf.DUMMYFUNCTION("IMPORTRANGE(""https://docs.google.com/spreadsheets/d/1SX6NBoVAgQJ6U1MVXOaj8PK2l7WJ3RER9xtqwdhxkhw/edit?usp=sharing"",""ปทุมธานี!I442"")"),22)</f>
        <v>22</v>
      </c>
      <c r="J547" s="189">
        <f ca="1">IFERROR(__xludf.DUMMYFUNCTION("IMPORTRANGE(""https://docs.google.com/spreadsheets/d/1SX6NBoVAgQJ6U1MVXOaj8PK2l7WJ3RER9xtqwdhxkhw/edit?usp=sharing"",""ปทุมธานี!J442"")"),22)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IFERROR(__xludf.DUMMYFUNCTION("IMPORTRANGE(""https://docs.google.com/spreadsheets/d/1SX6NBoVAgQJ6U1MVXOaj8PK2l7WJ3RER9xtqwdhxkhw/edit?usp=sharing"",""ปทุมธานี!J166"")"),0)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IFERROR(__xludf.DUMMYFUNCTION("IMPORTRANGE(""https://docs.google.com/spreadsheets/d/1SX6NBoVAgQJ6U1MVXOaj8PK2l7WJ3RER9xtqwdhxkhw/edit?usp=sharing"",""ปทุมธานี!J444"")"),1)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IFERROR(__xludf.DUMMYFUNCTION("IMPORTRANGE(""https://docs.google.com/spreadsheets/d/1SX6NBoVAgQJ6U1MVXOaj8PK2l7WJ3RER9xtqwdhxkhw/edit?usp=sharing"",""ปทุมธานี!J445"")"),1)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IFERROR(__xludf.DUMMYFUNCTION("IMPORTRANGE(""https://docs.google.com/spreadsheets/d/1SX6NBoVAgQJ6U1MVXOaj8PK2l7WJ3RER9xtqwdhxkhw/edit?usp=sharing"",""ปทุมธานี!I446"")"),0)</f>
        <v>0</v>
      </c>
      <c r="J551" s="410">
        <f ca="1">IFERROR(__xludf.DUMMYFUNCTION("IMPORTRANGE(""https://docs.google.com/spreadsheets/d/1SX6NBoVAgQJ6U1MVXOaj8PK2l7WJ3RER9xtqwdhxkhw/edit?usp=sharing"",""ปทุมธานี!J446"")"),0)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IFERROR(__xludf.DUMMYFUNCTION("IMPORTRANGE(""https://docs.google.com/spreadsheets/d/1SX6NBoVAgQJ6U1MVXOaj8PK2l7WJ3RER9xtqwdhxkhw/edit?usp=sharing"",""ปทุมธานี!L446"")"),0)</f>
        <v>0</v>
      </c>
      <c r="M551" s="412"/>
      <c r="N551" s="412">
        <f ca="1">IFERROR(__xludf.DUMMYFUNCTION("IMPORTRANGE(""https://docs.google.com/spreadsheets/d/1SX6NBoVAgQJ6U1MVXOaj8PK2l7WJ3RER9xtqwdhxkhw/edit?usp=sharing"",""ปทุมธานี!M446"")"),0)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IFERROR(__xludf.DUMMYFUNCTION("IMPORTRANGE(""https://docs.google.com/spreadsheets/d/1SX6NBoVAgQJ6U1MVXOaj8PK2l7WJ3RER9xtqwdhxkhw/edit?usp=sharing"",""ปทุมธานี!L447"")"),0)</f>
        <v>0</v>
      </c>
      <c r="M552" s="164"/>
      <c r="N552" s="169">
        <f ca="1">IFERROR(__xludf.DUMMYFUNCTION("IMPORTRANGE(""https://docs.google.com/spreadsheets/d/1SX6NBoVAgQJ6U1MVXOaj8PK2l7WJ3RER9xtqwdhxkhw/edit?usp=sharing"",""ปทุมธานี!M447"")"),0)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IFERROR(__xludf.DUMMYFUNCTION("IMPORTRANGE(""https://docs.google.com/spreadsheets/d/1SX6NBoVAgQJ6U1MVXOaj8PK2l7WJ3RER9xtqwdhxkhw/edit?usp=sharing"",""ปทุมธานี!L448"")"),0)</f>
        <v>0</v>
      </c>
      <c r="M553" s="165"/>
      <c r="N553" s="169">
        <f ca="1">IFERROR(__xludf.DUMMYFUNCTION("IMPORTRANGE(""https://docs.google.com/spreadsheets/d/1SX6NBoVAgQJ6U1MVXOaj8PK2l7WJ3RER9xtqwdhxkhw/edit?usp=sharing"",""ปทุมธานี!M448"")"),0)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IFERROR(__xludf.DUMMYFUNCTION("IMPORTRANGE(""https://docs.google.com/spreadsheets/d/1SX6NBoVAgQJ6U1MVXOaj8PK2l7WJ3RER9xtqwdhxkhw/edit?usp=sharing"",""ปทุมธานี!L449"")"),0)</f>
        <v>0</v>
      </c>
      <c r="M554" s="169"/>
      <c r="N554" s="169">
        <f ca="1">IFERROR(__xludf.DUMMYFUNCTION("IMPORTRANGE(""https://docs.google.com/spreadsheets/d/1SX6NBoVAgQJ6U1MVXOaj8PK2l7WJ3RER9xtqwdhxkhw/edit?usp=sharing"",""ปทุมธานี!M449"")"),0)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IFERROR(__xludf.DUMMYFUNCTION("IMPORTRANGE(""https://docs.google.com/spreadsheets/d/1SX6NBoVAgQJ6U1MVXOaj8PK2l7WJ3RER9xtqwdhxkhw/edit?usp=sharing"",""ปทุมธานี!L450"")"),0)</f>
        <v>0</v>
      </c>
      <c r="M555" s="169"/>
      <c r="N555" s="169">
        <f ca="1">IFERROR(__xludf.DUMMYFUNCTION("IMPORTRANGE(""https://docs.google.com/spreadsheets/d/1SX6NBoVAgQJ6U1MVXOaj8PK2l7WJ3RER9xtqwdhxkhw/edit?usp=sharing"",""ปทุมธานี!M450"")"),0)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IFERROR(__xludf.DUMMYFUNCTION("IMPORTRANGE(""https://docs.google.com/spreadsheets/d/1SX6NBoVAgQJ6U1MVXOaj8PK2l7WJ3RER9xtqwdhxkhw/edit?usp=sharing"",""ปทุมธานี!M451"")"),0)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IFERROR(__xludf.DUMMYFUNCTION("IMPORTRANGE(""https://docs.google.com/spreadsheets/d/1SX6NBoVAgQJ6U1MVXOaj8PK2l7WJ3RER9xtqwdhxkhw/edit?usp=sharing"",""ปทุมธานี!M452"")"),0)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IFERROR(__xludf.DUMMYFUNCTION("IMPORTRANGE(""https://docs.google.com/spreadsheets/d/1SX6NBoVAgQJ6U1MVXOaj8PK2l7WJ3RER9xtqwdhxkhw/edit?usp=sharing"",""ปทุมธานี!M453"")"),0)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IFERROR(__xludf.DUMMYFUNCTION("IMPORTRANGE(""https://docs.google.com/spreadsheets/d/1SX6NBoVAgQJ6U1MVXOaj8PK2l7WJ3RER9xtqwdhxkhw/edit?usp=sharing"",""ปทุมธานี!M454"")"),0)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IFERROR(__xludf.DUMMYFUNCTION("IMPORTRANGE(""https://docs.google.com/spreadsheets/d/1SX6NBoVAgQJ6U1MVXOaj8PK2l7WJ3RER9xtqwdhxkhw/edit?usp=sharing"",""ปทุมธานี!I455"")"),0)</f>
        <v>0</v>
      </c>
      <c r="J560" s="162">
        <f ca="1">IFERROR(__xludf.DUMMYFUNCTION("IMPORTRANGE(""https://docs.google.com/spreadsheets/d/1SX6NBoVAgQJ6U1MVXOaj8PK2l7WJ3RER9xtqwdhxkhw/edit?usp=sharing"",""ปทุมธานี!J455"")"),0)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IFERROR(__xludf.DUMMYFUNCTION("IMPORTRANGE(""https://docs.google.com/spreadsheets/d/1SX6NBoVAgQJ6U1MVXOaj8PK2l7WJ3RER9xtqwdhxkhw/edit?usp=sharing"",""ปทุมธานี!I456"")"),0)</f>
        <v>0</v>
      </c>
      <c r="J561" s="204">
        <f ca="1">IFERROR(__xludf.DUMMYFUNCTION("IMPORTRANGE(""https://docs.google.com/spreadsheets/d/1SX6NBoVAgQJ6U1MVXOaj8PK2l7WJ3RER9xtqwdhxkhw/edit?usp=sharing"",""ปทุมธานี!J456"")"),0)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IFERROR(__xludf.DUMMYFUNCTION("IMPORTRANGE(""https://docs.google.com/spreadsheets/d/1SX6NBoVAgQJ6U1MVXOaj8PK2l7WJ3RER9xtqwdhxkhw/edit?usp=sharing"",""ปทุมธานี!I459"")"),200)</f>
        <v>200</v>
      </c>
      <c r="J564" s="371">
        <f ca="1">IFERROR(__xludf.DUMMYFUNCTION("IMPORTRANGE(""https://docs.google.com/spreadsheets/d/1SX6NBoVAgQJ6U1MVXOaj8PK2l7WJ3RER9xtqwdhxkhw/edit?usp=sharing"",""ปทุมธานี!J459"")"),976)</f>
        <v>976</v>
      </c>
      <c r="K564" s="372">
        <f ca="1">IF(I564&gt;0,J564*100/I564,0)</f>
        <v>488</v>
      </c>
      <c r="L564" s="373">
        <f ca="1">IFERROR(__xludf.DUMMYFUNCTION("IMPORTRANGE(""https://docs.google.com/spreadsheets/d/1SX6NBoVAgQJ6U1MVXOaj8PK2l7WJ3RER9xtqwdhxkhw/edit?usp=sharing"",""ปทุมธานี!L459"")"),126080)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IFERROR(__xludf.DUMMYFUNCTION("IMPORTRANGE(""https://docs.google.com/spreadsheets/d/1SX6NBoVAgQJ6U1MVXOaj8PK2l7WJ3RER9xtqwdhxkhw/edit?usp=sharing"",""ปทุมธานี!M459"")"),75760)</f>
        <v>75760</v>
      </c>
      <c r="O564" s="373">
        <f t="shared" ref="O564:O568" ca="1" si="122">+IF(L564&gt;0,N564*100/L564,0)</f>
        <v>60.088832487309645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IFERROR(__xludf.DUMMYFUNCTION("IMPORTRANGE(""https://docs.google.com/spreadsheets/d/1SX6NBoVAgQJ6U1MVXOaj8PK2l7WJ3RER9xtqwdhxkhw/edit?usp=sharing"",""ปทุมธานี!L460"")"),0)</f>
        <v>0</v>
      </c>
      <c r="M565" s="164"/>
      <c r="N565" s="169">
        <f ca="1">IFERROR(__xludf.DUMMYFUNCTION("IMPORTRANGE(""https://docs.google.com/spreadsheets/d/1SX6NBoVAgQJ6U1MVXOaj8PK2l7WJ3RER9xtqwdhxkhw/edit?usp=sharing"",""ปทุมธานี!M460"")"),0)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IFERROR(__xludf.DUMMYFUNCTION("IMPORTRANGE(""https://docs.google.com/spreadsheets/d/1SX6NBoVAgQJ6U1MVXOaj8PK2l7WJ3RER9xtqwdhxkhw/edit?usp=sharing"",""ปทุมธานี!L461"")"),126080)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IFERROR(__xludf.DUMMYFUNCTION("IMPORTRANGE(""https://docs.google.com/spreadsheets/d/1SX6NBoVAgQJ6U1MVXOaj8PK2l7WJ3RER9xtqwdhxkhw/edit?usp=sharing"",""ปทุมธานี!M461"")"),75760)</f>
        <v>75760</v>
      </c>
      <c r="O566" s="169">
        <f t="shared" ca="1" si="122"/>
        <v>60.088832487309645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IFERROR(__xludf.DUMMYFUNCTION("IMPORTRANGE(""https://docs.google.com/spreadsheets/d/1SX6NBoVAgQJ6U1MVXOaj8PK2l7WJ3RER9xtqwdhxkhw/edit?usp=sharing"",""ปทุมธานี!L462"")"),0)</f>
        <v>0</v>
      </c>
      <c r="M567" s="169"/>
      <c r="N567" s="169">
        <f ca="1">IFERROR(__xludf.DUMMYFUNCTION("IMPORTRANGE(""https://docs.google.com/spreadsheets/d/1SX6NBoVAgQJ6U1MVXOaj8PK2l7WJ3RER9xtqwdhxkhw/edit?usp=sharing"",""ปทุมธานี!M462"")"),0)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IFERROR(__xludf.DUMMYFUNCTION("IMPORTRANGE(""https://docs.google.com/spreadsheets/d/1SX6NBoVAgQJ6U1MVXOaj8PK2l7WJ3RER9xtqwdhxkhw/edit?usp=sharing"",""ปทุมธานี!L463"")"),126080)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IFERROR(__xludf.DUMMYFUNCTION("IMPORTRANGE(""https://docs.google.com/spreadsheets/d/1SX6NBoVAgQJ6U1MVXOaj8PK2l7WJ3RER9xtqwdhxkhw/edit?usp=sharing"",""ปทุมธานี!M463"")"),75760)</f>
        <v>75760</v>
      </c>
      <c r="O568" s="169">
        <f t="shared" ca="1" si="122"/>
        <v>60.088832487309645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IFERROR(__xludf.DUMMYFUNCTION("IMPORTRANGE(""https://docs.google.com/spreadsheets/d/1SX6NBoVAgQJ6U1MVXOaj8PK2l7WJ3RER9xtqwdhxkhw/edit?usp=sharing"",""ปทุมธานี!M464"")"),0)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IFERROR(__xludf.DUMMYFUNCTION("IMPORTRANGE(""https://docs.google.com/spreadsheets/d/1SX6NBoVAgQJ6U1MVXOaj8PK2l7WJ3RER9xtqwdhxkhw/edit?usp=sharing"",""ปทุมธานี!M465"")"),0)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IFERROR(__xludf.DUMMYFUNCTION("IMPORTRANGE(""https://docs.google.com/spreadsheets/d/1SX6NBoVAgQJ6U1MVXOaj8PK2l7WJ3RER9xtqwdhxkhw/edit?usp=sharing"",""ปทุมธานี!M466"")"),64900)</f>
        <v>64900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IFERROR(__xludf.DUMMYFUNCTION("IMPORTRANGE(""https://docs.google.com/spreadsheets/d/1SX6NBoVAgQJ6U1MVXOaj8PK2l7WJ3RER9xtqwdhxkhw/edit?usp=sharing"",""ปทุมธานี!M467"")"),10860)</f>
        <v>10860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IFERROR(__xludf.DUMMYFUNCTION("IMPORTRANGE(""https://docs.google.com/spreadsheets/d/1SX6NBoVAgQJ6U1MVXOaj8PK2l7WJ3RER9xtqwdhxkhw/edit?usp=sharing"",""ปทุมธานี!I468"")"),200)</f>
        <v>200</v>
      </c>
      <c r="J573" s="420">
        <f ca="1">IFERROR(__xludf.DUMMYFUNCTION("IMPORTRANGE(""https://docs.google.com/spreadsheets/d/1SX6NBoVAgQJ6U1MVXOaj8PK2l7WJ3RER9xtqwdhxkhw/edit?usp=sharing"",""ปทุมธานี!J468"")"),976)</f>
        <v>976</v>
      </c>
      <c r="K573" s="202">
        <f ca="1">IF(I573&gt;0,J573*100/I573,0)</f>
        <v>488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IFERROR(__xludf.DUMMYFUNCTION("IMPORTRANGE(""https://docs.google.com/spreadsheets/d/1SX6NBoVAgQJ6U1MVXOaj8PK2l7WJ3RER9xtqwdhxkhw/edit?usp=sharing"",""ปทุมธานี!I470"")"),0)</f>
        <v>0</v>
      </c>
      <c r="J575" s="198">
        <f ca="1">IFERROR(__xludf.DUMMYFUNCTION("IMPORTRANGE(""https://docs.google.com/spreadsheets/d/1SX6NBoVAgQJ6U1MVXOaj8PK2l7WJ3RER9xtqwdhxkhw/edit?usp=sharing"",""ปทุมธานี!J470"")"),10)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IFERROR(__xludf.DUMMYFUNCTION("IMPORTRANGE(""https://docs.google.com/spreadsheets/d/1SX6NBoVAgQJ6U1MVXOaj8PK2l7WJ3RER9xtqwdhxkhw/edit?usp=sharing"",""ปทุมธานี!I471"")"),0)</f>
        <v>0</v>
      </c>
      <c r="J576" s="198">
        <f ca="1">IFERROR(__xludf.DUMMYFUNCTION("IMPORTRANGE(""https://docs.google.com/spreadsheets/d/1SX6NBoVAgQJ6U1MVXOaj8PK2l7WJ3RER9xtqwdhxkhw/edit?usp=sharing"",""ปทุมธานี!J471"")"),312)</f>
        <v>312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IFERROR(__xludf.DUMMYFUNCTION("IMPORTRANGE(""https://docs.google.com/spreadsheets/d/1SX6NBoVAgQJ6U1MVXOaj8PK2l7WJ3RER9xtqwdhxkhw/edit?usp=sharing"",""ปทุมธานี!I472"")"),0)</f>
        <v>0</v>
      </c>
      <c r="J577" s="189">
        <f ca="1">IFERROR(__xludf.DUMMYFUNCTION("IMPORTRANGE(""https://docs.google.com/spreadsheets/d/1SX6NBoVAgQJ6U1MVXOaj8PK2l7WJ3RER9xtqwdhxkhw/edit?usp=sharing"",""ปทุมธานี!J472"")"),664)</f>
        <v>664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IFERROR(__xludf.DUMMYFUNCTION("IMPORTRANGE(""https://docs.google.com/spreadsheets/d/1SX6NBoVAgQJ6U1MVXOaj8PK2l7WJ3RER9xtqwdhxkhw/edit?usp=sharing"",""ปทุมธานี!I473"")"),0)</f>
        <v>0</v>
      </c>
      <c r="J578" s="198">
        <f ca="1">IFERROR(__xludf.DUMMYFUNCTION("IMPORTRANGE(""https://docs.google.com/spreadsheets/d/1SX6NBoVAgQJ6U1MVXOaj8PK2l7WJ3RER9xtqwdhxkhw/edit?usp=sharing"",""ปทุมธานี!J473"")"),0)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IFERROR(__xludf.DUMMYFUNCTION("IMPORTRANGE(""https://docs.google.com/spreadsheets/d/1SX6NBoVAgQJ6U1MVXOaj8PK2l7WJ3RER9xtqwdhxkhw/edit?usp=sharing"",""ปทุมธานี!I474"")"),0)</f>
        <v>0</v>
      </c>
      <c r="J579" s="198">
        <f ca="1">IFERROR(__xludf.DUMMYFUNCTION("IMPORTRANGE(""https://docs.google.com/spreadsheets/d/1SX6NBoVAgQJ6U1MVXOaj8PK2l7WJ3RER9xtqwdhxkhw/edit?usp=sharing"",""ปทุมธานี!J474"")"),0)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IFERROR(__xludf.DUMMYFUNCTION("IMPORTRANGE(""https://docs.google.com/spreadsheets/d/1SX6NBoVAgQJ6U1MVXOaj8PK2l7WJ3RER9xtqwdhxkhw/edit?usp=sharing"",""ปทุมธานี!I475"")"),0)</f>
        <v>0</v>
      </c>
      <c r="J580" s="371">
        <f ca="1">IFERROR(__xludf.DUMMYFUNCTION("IMPORTRANGE(""https://docs.google.com/spreadsheets/d/1SX6NBoVAgQJ6U1MVXOaj8PK2l7WJ3RER9xtqwdhxkhw/edit?usp=sharing"",""ปทุมธานี!J475"")"),0)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IFERROR(__xludf.DUMMYFUNCTION("IMPORTRANGE(""https://docs.google.com/spreadsheets/d/1SX6NBoVAgQJ6U1MVXOaj8PK2l7WJ3RER9xtqwdhxkhw/edit?usp=sharing"",""ปทุมธานี!L475"")"),0)</f>
        <v>0</v>
      </c>
      <c r="M580" s="373"/>
      <c r="N580" s="373">
        <f ca="1">IFERROR(__xludf.DUMMYFUNCTION("IMPORTRANGE(""https://docs.google.com/spreadsheets/d/1SX6NBoVAgQJ6U1MVXOaj8PK2l7WJ3RER9xtqwdhxkhw/edit?usp=sharing"",""ปทุมธานี!M475"")"),0)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IFERROR(__xludf.DUMMYFUNCTION("IMPORTRANGE(""https://docs.google.com/spreadsheets/d/1SX6NBoVAgQJ6U1MVXOaj8PK2l7WJ3RER9xtqwdhxkhw/edit?usp=sharing"",""ปทุมธานี!L476"")"),0)</f>
        <v>0</v>
      </c>
      <c r="M581" s="164"/>
      <c r="N581" s="169">
        <f ca="1">IFERROR(__xludf.DUMMYFUNCTION("IMPORTRANGE(""https://docs.google.com/spreadsheets/d/1SX6NBoVAgQJ6U1MVXOaj8PK2l7WJ3RER9xtqwdhxkhw/edit?usp=sharing"",""ปทุมธานี!M476"")"),0)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IFERROR(__xludf.DUMMYFUNCTION("IMPORTRANGE(""https://docs.google.com/spreadsheets/d/1SX6NBoVAgQJ6U1MVXOaj8PK2l7WJ3RER9xtqwdhxkhw/edit?usp=sharing"",""ปทุมธานี!L477"")"),0)</f>
        <v>0</v>
      </c>
      <c r="M582" s="165"/>
      <c r="N582" s="169">
        <f ca="1">IFERROR(__xludf.DUMMYFUNCTION("IMPORTRANGE(""https://docs.google.com/spreadsheets/d/1SX6NBoVAgQJ6U1MVXOaj8PK2l7WJ3RER9xtqwdhxkhw/edit?usp=sharing"",""ปทุมธานี!M477"")"),0)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IFERROR(__xludf.DUMMYFUNCTION("IMPORTRANGE(""https://docs.google.com/spreadsheets/d/1SX6NBoVAgQJ6U1MVXOaj8PK2l7WJ3RER9xtqwdhxkhw/edit?usp=sharing"",""ปทุมธานี!L478"")"),0)</f>
        <v>0</v>
      </c>
      <c r="M583" s="169"/>
      <c r="N583" s="169">
        <f ca="1">IFERROR(__xludf.DUMMYFUNCTION("IMPORTRANGE(""https://docs.google.com/spreadsheets/d/1SX6NBoVAgQJ6U1MVXOaj8PK2l7WJ3RER9xtqwdhxkhw/edit?usp=sharing"",""ปทุมธานี!M478"")"),0)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IFERROR(__xludf.DUMMYFUNCTION("IMPORTRANGE(""https://docs.google.com/spreadsheets/d/1SX6NBoVAgQJ6U1MVXOaj8PK2l7WJ3RER9xtqwdhxkhw/edit?usp=sharing"",""ปทุมธานี!L479"")"),0)</f>
        <v>0</v>
      </c>
      <c r="M584" s="169"/>
      <c r="N584" s="169">
        <f ca="1">IFERROR(__xludf.DUMMYFUNCTION("IMPORTRANGE(""https://docs.google.com/spreadsheets/d/1SX6NBoVAgQJ6U1MVXOaj8PK2l7WJ3RER9xtqwdhxkhw/edit?usp=sharing"",""ปทุมธานี!M479"")"),0)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IFERROR(__xludf.DUMMYFUNCTION("IMPORTRANGE(""https://docs.google.com/spreadsheets/d/1SX6NBoVAgQJ6U1MVXOaj8PK2l7WJ3RER9xtqwdhxkhw/edit?usp=sharing"",""ปทุมธานี!M480"")"),0)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IFERROR(__xludf.DUMMYFUNCTION("IMPORTRANGE(""https://docs.google.com/spreadsheets/d/1SX6NBoVAgQJ6U1MVXOaj8PK2l7WJ3RER9xtqwdhxkhw/edit?usp=sharing"",""ปทุมธานี!M481"")"),0)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IFERROR(__xludf.DUMMYFUNCTION("IMPORTRANGE(""https://docs.google.com/spreadsheets/d/1SX6NBoVAgQJ6U1MVXOaj8PK2l7WJ3RER9xtqwdhxkhw/edit?usp=sharing"",""ปทุมธานี!M482"")"),0)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IFERROR(__xludf.DUMMYFUNCTION("IMPORTRANGE(""https://docs.google.com/spreadsheets/d/1SX6NBoVAgQJ6U1MVXOaj8PK2l7WJ3RER9xtqwdhxkhw/edit?usp=sharing"",""ปทุมธานี!M483"")"),0)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IFERROR(__xludf.DUMMYFUNCTION("IMPORTRANGE(""https://docs.google.com/spreadsheets/d/1SX6NBoVAgQJ6U1MVXOaj8PK2l7WJ3RER9xtqwdhxkhw/edit?usp=sharing"",""ปทุมธานี!I484"")"),0)</f>
        <v>0</v>
      </c>
      <c r="J589" s="188">
        <f ca="1">IFERROR(__xludf.DUMMYFUNCTION("IMPORTRANGE(""https://docs.google.com/spreadsheets/d/1SX6NBoVAgQJ6U1MVXOaj8PK2l7WJ3RER9xtqwdhxkhw/edit?usp=sharing"",""ปทุมธานี!J484"")"),0)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IFERROR(__xludf.DUMMYFUNCTION("IMPORTRANGE(""https://docs.google.com/spreadsheets/d/1SX6NBoVAgQJ6U1MVXOaj8PK2l7WJ3RER9xtqwdhxkhw/edit?usp=sharing"",""ปทุมธานี!I485"")"),0)</f>
        <v>0</v>
      </c>
      <c r="J590" s="188">
        <f ca="1">IFERROR(__xludf.DUMMYFUNCTION("IMPORTRANGE(""https://docs.google.com/spreadsheets/d/1SX6NBoVAgQJ6U1MVXOaj8PK2l7WJ3RER9xtqwdhxkhw/edit?usp=sharing"",""ปทุมธานี!J485"")"),0)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IFERROR(__xludf.DUMMYFUNCTION("IMPORTRANGE(""https://docs.google.com/spreadsheets/d/1SX6NBoVAgQJ6U1MVXOaj8PK2l7WJ3RER9xtqwdhxkhw/edit?usp=sharing"",""ปทุมธานี!I486"")"),0)</f>
        <v>0</v>
      </c>
      <c r="J591" s="188">
        <f ca="1">IFERROR(__xludf.DUMMYFUNCTION("IMPORTRANGE(""https://docs.google.com/spreadsheets/d/1SX6NBoVAgQJ6U1MVXOaj8PK2l7WJ3RER9xtqwdhxkhw/edit?usp=sharing"",""ปทุมธานี!J486"")"),0)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IFERROR(__xludf.DUMMYFUNCTION("IMPORTRANGE(""https://docs.google.com/spreadsheets/d/1SX6NBoVAgQJ6U1MVXOaj8PK2l7WJ3RER9xtqwdhxkhw/edit?usp=sharing"",""ปทุมธานี!I487"")"),0)</f>
        <v>0</v>
      </c>
      <c r="J592" s="188">
        <f ca="1">IFERROR(__xludf.DUMMYFUNCTION("IMPORTRANGE(""https://docs.google.com/spreadsheets/d/1SX6NBoVAgQJ6U1MVXOaj8PK2l7WJ3RER9xtqwdhxkhw/edit?usp=sharing"",""ปทุมธานี!J487"")"),0)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IFERROR(__xludf.DUMMYFUNCTION("IMPORTRANGE(""https://docs.google.com/spreadsheets/d/1SX6NBoVAgQJ6U1MVXOaj8PK2l7WJ3RER9xtqwdhxkhw/edit?usp=sharing"",""ปทุมธานี!I488"")"),0)</f>
        <v>0</v>
      </c>
      <c r="J593" s="188">
        <f ca="1">IFERROR(__xludf.DUMMYFUNCTION("IMPORTRANGE(""https://docs.google.com/spreadsheets/d/1SX6NBoVAgQJ6U1MVXOaj8PK2l7WJ3RER9xtqwdhxkhw/edit?usp=sharing"",""ปทุมธานี!J488"")"),0)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IFERROR(__xludf.DUMMYFUNCTION("IMPORTRANGE(""https://docs.google.com/spreadsheets/d/1SX6NBoVAgQJ6U1MVXOaj8PK2l7WJ3RER9xtqwdhxkhw/edit?usp=sharing"",""ปทุมธานี!I489"")"),0)</f>
        <v>0</v>
      </c>
      <c r="J594" s="188">
        <f ca="1">IFERROR(__xludf.DUMMYFUNCTION("IMPORTRANGE(""https://docs.google.com/spreadsheets/d/1SX6NBoVAgQJ6U1MVXOaj8PK2l7WJ3RER9xtqwdhxkhw/edit?usp=sharing"",""ปทุมธานี!J489"")"),0)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IFERROR(__xludf.DUMMYFUNCTION("IMPORTRANGE(""https://docs.google.com/spreadsheets/d/1SX6NBoVAgQJ6U1MVXOaj8PK2l7WJ3RER9xtqwdhxkhw/edit?usp=sharing"",""ปทุมธานี!I490"")"),0)</f>
        <v>0</v>
      </c>
      <c r="J595" s="188">
        <f ca="1">IFERROR(__xludf.DUMMYFUNCTION("IMPORTRANGE(""https://docs.google.com/spreadsheets/d/1SX6NBoVAgQJ6U1MVXOaj8PK2l7WJ3RER9xtqwdhxkhw/edit?usp=sharing"",""ปทุมธานี!J490"")"),0)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IFERROR(__xludf.DUMMYFUNCTION("IMPORTRANGE(""https://docs.google.com/spreadsheets/d/1SX6NBoVAgQJ6U1MVXOaj8PK2l7WJ3RER9xtqwdhxkhw/edit?usp=sharing"",""ปทุมธานี!I491"")"),0)</f>
        <v>0</v>
      </c>
      <c r="J596" s="242">
        <f ca="1">IFERROR(__xludf.DUMMYFUNCTION("IMPORTRANGE(""https://docs.google.com/spreadsheets/d/1SX6NBoVAgQJ6U1MVXOaj8PK2l7WJ3RER9xtqwdhxkhw/edit?usp=sharing"",""ปทุมธานี!J491"")"),0)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IFERROR(__xludf.DUMMYFUNCTION("IMPORTRANGE(""https://docs.google.com/spreadsheets/d/1SX6NBoVAgQJ6U1MVXOaj8PK2l7WJ3RER9xtqwdhxkhw/edit?usp=sharing"",""ปทุมธานี!I492"")"),100)</f>
        <v>100</v>
      </c>
      <c r="J597" s="488">
        <f ca="1">IFERROR(__xludf.DUMMYFUNCTION("IMPORTRANGE(""https://docs.google.com/spreadsheets/d/1SX6NBoVAgQJ6U1MVXOaj8PK2l7WJ3RER9xtqwdhxkhw/edit?usp=sharing"",""ปทุมธานี!J492"")"),0)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IFERROR(__xludf.DUMMYFUNCTION("IMPORTRANGE(""https://docs.google.com/spreadsheets/d/1SX6NBoVAgQJ6U1MVXOaj8PK2l7WJ3RER9xtqwdhxkhw/edit?usp=sharing"",""ปทุมธานี!L492"")"),7300)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IFERROR(__xludf.DUMMYFUNCTION("IMPORTRANGE(""https://docs.google.com/spreadsheets/d/1SX6NBoVAgQJ6U1MVXOaj8PK2l7WJ3RER9xtqwdhxkhw/edit?usp=sharing"",""ปทุมธานี!M492"")"),1460)</f>
        <v>1460</v>
      </c>
      <c r="O597" s="412">
        <f t="shared" ref="O597:O601" ca="1" si="126">+IF(L597&gt;0,N597*100/L597,0)</f>
        <v>20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IFERROR(__xludf.DUMMYFUNCTION("IMPORTRANGE(""https://docs.google.com/spreadsheets/d/1SX6NBoVAgQJ6U1MVXOaj8PK2l7WJ3RER9xtqwdhxkhw/edit?usp=sharing"",""ปทุมธานี!L493"")"),0)</f>
        <v>0</v>
      </c>
      <c r="M598" s="164"/>
      <c r="N598" s="169">
        <f ca="1">IFERROR(__xludf.DUMMYFUNCTION("IMPORTRANGE(""https://docs.google.com/spreadsheets/d/1SX6NBoVAgQJ6U1MVXOaj8PK2l7WJ3RER9xtqwdhxkhw/edit?usp=sharing"",""ปทุมธานี!M493"")"),0)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IFERROR(__xludf.DUMMYFUNCTION("IMPORTRANGE(""https://docs.google.com/spreadsheets/d/1SX6NBoVAgQJ6U1MVXOaj8PK2l7WJ3RER9xtqwdhxkhw/edit?usp=sharing"",""ปทุมธานี!L494"")"),7300)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IFERROR(__xludf.DUMMYFUNCTION("IMPORTRANGE(""https://docs.google.com/spreadsheets/d/1SX6NBoVAgQJ6U1MVXOaj8PK2l7WJ3RER9xtqwdhxkhw/edit?usp=sharing"",""ปทุมธานี!M494"")"),1460)</f>
        <v>1460</v>
      </c>
      <c r="O599" s="169">
        <f t="shared" ca="1" si="126"/>
        <v>20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IFERROR(__xludf.DUMMYFUNCTION("IMPORTRANGE(""https://docs.google.com/spreadsheets/d/1SX6NBoVAgQJ6U1MVXOaj8PK2l7WJ3RER9xtqwdhxkhw/edit?usp=sharing"",""ปทุมธานี!L495"")"),0)</f>
        <v>0</v>
      </c>
      <c r="M600" s="169"/>
      <c r="N600" s="169">
        <f ca="1">IFERROR(__xludf.DUMMYFUNCTION("IMPORTRANGE(""https://docs.google.com/spreadsheets/d/1SX6NBoVAgQJ6U1MVXOaj8PK2l7WJ3RER9xtqwdhxkhw/edit?usp=sharing"",""ปทุมธานี!M495"")"),0)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IFERROR(__xludf.DUMMYFUNCTION("IMPORTRANGE(""https://docs.google.com/spreadsheets/d/1SX6NBoVAgQJ6U1MVXOaj8PK2l7WJ3RER9xtqwdhxkhw/edit?usp=sharing"",""ปทุมธานี!L496"")"),7300)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IFERROR(__xludf.DUMMYFUNCTION("IMPORTRANGE(""https://docs.google.com/spreadsheets/d/1SX6NBoVAgQJ6U1MVXOaj8PK2l7WJ3RER9xtqwdhxkhw/edit?usp=sharing"",""ปทุมธานี!M496"")"),1460)</f>
        <v>1460</v>
      </c>
      <c r="O601" s="169">
        <f t="shared" ca="1" si="126"/>
        <v>20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IFERROR(__xludf.DUMMYFUNCTION("IMPORTRANGE(""https://docs.google.com/spreadsheets/d/1SX6NBoVAgQJ6U1MVXOaj8PK2l7WJ3RER9xtqwdhxkhw/edit?usp=sharing"",""ปทุมธานี!M497"")"),0)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IFERROR(__xludf.DUMMYFUNCTION("IMPORTRANGE(""https://docs.google.com/spreadsheets/d/1SX6NBoVAgQJ6U1MVXOaj8PK2l7WJ3RER9xtqwdhxkhw/edit?usp=sharing"",""ปทุมธานี!M498"")"),0)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IFERROR(__xludf.DUMMYFUNCTION("IMPORTRANGE(""https://docs.google.com/spreadsheets/d/1SX6NBoVAgQJ6U1MVXOaj8PK2l7WJ3RER9xtqwdhxkhw/edit?usp=sharing"",""ปทุมธานี!M499"")"),0)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IFERROR(__xludf.DUMMYFUNCTION("IMPORTRANGE(""https://docs.google.com/spreadsheets/d/1SX6NBoVAgQJ6U1MVXOaj8PK2l7WJ3RER9xtqwdhxkhw/edit?usp=sharing"",""ปทุมธานี!M500"")"),1460)</f>
        <v>1460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IFERROR(__xludf.DUMMYFUNCTION("IMPORTRANGE(""https://docs.google.com/spreadsheets/d/1SX6NBoVAgQJ6U1MVXOaj8PK2l7WJ3RER9xtqwdhxkhw/edit?usp=sharing"",""ปทุมธานี!J502"")"),0)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IFERROR(__xludf.DUMMYFUNCTION("IMPORTRANGE(""https://docs.google.com/spreadsheets/d/1SX6NBoVAgQJ6U1MVXOaj8PK2l7WJ3RER9xtqwdhxkhw/edit?usp=sharing"",""ปทุมธานี!J503"")"),1)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IFERROR(__xludf.DUMMYFUNCTION("IMPORTRANGE(""https://docs.google.com/spreadsheets/d/1SX6NBoVAgQJ6U1MVXOaj8PK2l7WJ3RER9xtqwdhxkhw/edit?usp=sharing"",""ปทุมธานี!J166"")"),0)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IFERROR(__xludf.DUMMYFUNCTION("IMPORTRANGE(""https://docs.google.com/spreadsheets/d/1SX6NBoVAgQJ6U1MVXOaj8PK2l7WJ3RER9xtqwdhxkhw/edit?usp=sharing"",""ปทุมธานี!J166"")"),0)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IFERROR(__xludf.DUMMYFUNCTION("IMPORTRANGE(""https://docs.google.com/spreadsheets/d/1SX6NBoVAgQJ6U1MVXOaj8PK2l7WJ3RER9xtqwdhxkhw/edit?usp=sharing"",""ปทุมธานี!I506"")"),100)</f>
        <v>100</v>
      </c>
      <c r="J611" s="162">
        <f ca="1">IFERROR(__xludf.DUMMYFUNCTION("IMPORTRANGE(""https://docs.google.com/spreadsheets/d/1SX6NBoVAgQJ6U1MVXOaj8PK2l7WJ3RER9xtqwdhxkhw/edit?usp=sharing"",""ปทุมธานี!J506"")"),0)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IFERROR(__xludf.DUMMYFUNCTION("IMPORTRANGE(""https://docs.google.com/spreadsheets/d/1SX6NBoVAgQJ6U1MVXOaj8PK2l7WJ3RER9xtqwdhxkhw/edit?usp=sharing"",""ปทุมธานี!I507"")"),0)</f>
        <v>0</v>
      </c>
      <c r="J612" s="198">
        <f ca="1">IFERROR(__xludf.DUMMYFUNCTION("IMPORTRANGE(""https://docs.google.com/spreadsheets/d/1SX6NBoVAgQJ6U1MVXOaj8PK2l7WJ3RER9xtqwdhxkhw/edit?usp=sharing"",""ปทุมธานี!J507"")"),84)</f>
        <v>84</v>
      </c>
      <c r="K612" s="163">
        <f t="shared" ca="1" si="127"/>
        <v>84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IFERROR(__xludf.DUMMYFUNCTION("IMPORTRANGE(""https://docs.google.com/spreadsheets/d/1SX6NBoVAgQJ6U1MVXOaj8PK2l7WJ3RER9xtqwdhxkhw/edit?usp=sharing"",""ปทุมธานี!I508"")"),0)</f>
        <v>0</v>
      </c>
      <c r="J613" s="198">
        <f ca="1">IFERROR(__xludf.DUMMYFUNCTION("IMPORTRANGE(""https://docs.google.com/spreadsheets/d/1SX6NBoVAgQJ6U1MVXOaj8PK2l7WJ3RER9xtqwdhxkhw/edit?usp=sharing"",""ปทุมธานี!J508"")"),84)</f>
        <v>84</v>
      </c>
      <c r="K613" s="163">
        <f t="shared" ca="1" si="127"/>
        <v>84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IFERROR(__xludf.DUMMYFUNCTION("IMPORTRANGE(""https://docs.google.com/spreadsheets/d/1SX6NBoVAgQJ6U1MVXOaj8PK2l7WJ3RER9xtqwdhxkhw/edit?usp=sharing"",""ปทุมธานี!I509"")"),0)</f>
        <v>0</v>
      </c>
      <c r="J614" s="198">
        <f ca="1">IFERROR(__xludf.DUMMYFUNCTION("IMPORTRANGE(""https://docs.google.com/spreadsheets/d/1SX6NBoVAgQJ6U1MVXOaj8PK2l7WJ3RER9xtqwdhxkhw/edit?usp=sharing"",""ปทุมธานี!J509"")"),84)</f>
        <v>84</v>
      </c>
      <c r="K614" s="163">
        <f t="shared" ca="1" si="127"/>
        <v>84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IFERROR(__xludf.DUMMYFUNCTION("IMPORTRANGE(""https://docs.google.com/spreadsheets/d/1SX6NBoVAgQJ6U1MVXOaj8PK2l7WJ3RER9xtqwdhxkhw/edit?usp=sharing"",""ปทุมธานี!I510"")"),0)</f>
        <v>0</v>
      </c>
      <c r="J615" s="198">
        <f ca="1">IFERROR(__xludf.DUMMYFUNCTION("IMPORTRANGE(""https://docs.google.com/spreadsheets/d/1SX6NBoVAgQJ6U1MVXOaj8PK2l7WJ3RER9xtqwdhxkhw/edit?usp=sharing"",""ปทุมธานี!J510"")"),84)</f>
        <v>84</v>
      </c>
      <c r="K615" s="163">
        <f t="shared" ca="1" si="127"/>
        <v>84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IFERROR(__xludf.DUMMYFUNCTION("IMPORTRANGE(""https://docs.google.com/spreadsheets/d/1SX6NBoVAgQJ6U1MVXOaj8PK2l7WJ3RER9xtqwdhxkhw/edit?usp=sharing"",""ปทุมธานี!I511"")"),0)</f>
        <v>0</v>
      </c>
      <c r="J616" s="198">
        <f ca="1">IFERROR(__xludf.DUMMYFUNCTION("IMPORTRANGE(""https://docs.google.com/spreadsheets/d/1SX6NBoVAgQJ6U1MVXOaj8PK2l7WJ3RER9xtqwdhxkhw/edit?usp=sharing"",""ปทุมธานี!J511"")"),0)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IFERROR(__xludf.DUMMYFUNCTION("IMPORTRANGE(""https://docs.google.com/spreadsheets/d/1SX6NBoVAgQJ6U1MVXOaj8PK2l7WJ3RER9xtqwdhxkhw/edit?usp=sharing"",""ปทุมธานี!I512"")"),0)</f>
        <v>0</v>
      </c>
      <c r="J617" s="188">
        <f ca="1">IFERROR(__xludf.DUMMYFUNCTION("IMPORTRANGE(""https://docs.google.com/spreadsheets/d/1SX6NBoVAgQJ6U1MVXOaj8PK2l7WJ3RER9xtqwdhxkhw/edit?usp=sharing"",""ปทุมธานี!J512"")"),0)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IFERROR(__xludf.DUMMYFUNCTION("IMPORTRANGE(""https://docs.google.com/spreadsheets/d/1SX6NBoVAgQJ6U1MVXOaj8PK2l7WJ3RER9xtqwdhxkhw/edit?usp=sharing"",""ปทุมธานี!I513"")"),0)</f>
        <v>0</v>
      </c>
      <c r="J618" s="189">
        <f ca="1">IFERROR(__xludf.DUMMYFUNCTION("IMPORTRANGE(""https://docs.google.com/spreadsheets/d/1SX6NBoVAgQJ6U1MVXOaj8PK2l7WJ3RER9xtqwdhxkhw/edit?usp=sharing"",""ปทุมธานี!J513"")"),0)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IFERROR(__xludf.DUMMYFUNCTION("IMPORTRANGE(""https://docs.google.com/spreadsheets/d/1SX6NBoVAgQJ6U1MVXOaj8PK2l7WJ3RER9xtqwdhxkhw/edit?usp=sharing"",""ปทุมธานี!I514"")"),0)</f>
        <v>0</v>
      </c>
      <c r="J619" s="189">
        <f ca="1">IFERROR(__xludf.DUMMYFUNCTION("IMPORTRANGE(""https://docs.google.com/spreadsheets/d/1SX6NBoVAgQJ6U1MVXOaj8PK2l7WJ3RER9xtqwdhxkhw/edit?usp=sharing"",""ปทุมธานี!J514"")"),0)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IFERROR(__xludf.DUMMYFUNCTION("IMPORTRANGE(""https://docs.google.com/spreadsheets/d/1SX6NBoVAgQJ6U1MVXOaj8PK2l7WJ3RER9xtqwdhxkhw/edit?usp=sharing"",""ปทุมธานี!I515"")"),0)</f>
        <v>0</v>
      </c>
      <c r="J620" s="203">
        <f ca="1">IFERROR(__xludf.DUMMYFUNCTION("IMPORTRANGE(""https://docs.google.com/spreadsheets/d/1SX6NBoVAgQJ6U1MVXOaj8PK2l7WJ3RER9xtqwdhxkhw/edit?usp=sharing"",""ปทุมธานี!J515"")"),0)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IFERROR(__xludf.DUMMYFUNCTION("IMPORTRANGE(""https://docs.google.com/spreadsheets/d/1SX6NBoVAgQJ6U1MVXOaj8PK2l7WJ3RER9xtqwdhxkhw/edit?usp=sharing"",""ปทุมธานี!I516"")"),0)</f>
        <v>0</v>
      </c>
      <c r="J621" s="203">
        <f ca="1">IFERROR(__xludf.DUMMYFUNCTION("IMPORTRANGE(""https://docs.google.com/spreadsheets/d/1SX6NBoVAgQJ6U1MVXOaj8PK2l7WJ3RER9xtqwdhxkhw/edit?usp=sharing"",""ปทุมธานี!J516"")"),0)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IFERROR(__xludf.DUMMYFUNCTION("IMPORTRANGE(""https://docs.google.com/spreadsheets/d/1SX6NBoVAgQJ6U1MVXOaj8PK2l7WJ3RER9xtqwdhxkhw/edit?usp=sharing"",""ปทุมธานี!I517"")"),0)</f>
        <v>0</v>
      </c>
      <c r="J622" s="189">
        <f ca="1">IFERROR(__xludf.DUMMYFUNCTION("IMPORTRANGE(""https://docs.google.com/spreadsheets/d/1SX6NBoVAgQJ6U1MVXOaj8PK2l7WJ3RER9xtqwdhxkhw/edit?usp=sharing"",""ปทุมธานี!J517"")"),0)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IFERROR(__xludf.DUMMYFUNCTION("IMPORTRANGE(""https://docs.google.com/spreadsheets/d/1SX6NBoVAgQJ6U1MVXOaj8PK2l7WJ3RER9xtqwdhxkhw/edit?usp=sharing"",""ปทุมธานี!I518"")"),0)</f>
        <v>0</v>
      </c>
      <c r="J623" s="189">
        <f ca="1">IFERROR(__xludf.DUMMYFUNCTION("IMPORTRANGE(""https://docs.google.com/spreadsheets/d/1SX6NBoVAgQJ6U1MVXOaj8PK2l7WJ3RER9xtqwdhxkhw/edit?usp=sharing"",""ปทุมธานี!J518"")"),0)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IFERROR(__xludf.DUMMYFUNCTION("IMPORTRANGE(""https://docs.google.com/spreadsheets/d/1SX6NBoVAgQJ6U1MVXOaj8PK2l7WJ3RER9xtqwdhxkhw/edit?usp=sharing"",""ปทุมธานี!I519"")"),0)</f>
        <v>0</v>
      </c>
      <c r="J624" s="188">
        <f ca="1">IFERROR(__xludf.DUMMYFUNCTION("IMPORTRANGE(""https://docs.google.com/spreadsheets/d/1SX6NBoVAgQJ6U1MVXOaj8PK2l7WJ3RER9xtqwdhxkhw/edit?usp=sharing"",""ปทุมธานี!J519"")"),0)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IFERROR(__xludf.DUMMYFUNCTION("IMPORTRANGE(""https://docs.google.com/spreadsheets/d/1SX6NBoVAgQJ6U1MVXOaj8PK2l7WJ3RER9xtqwdhxkhw/edit?usp=sharing"",""ปทุมธานี!I520"")"),0)</f>
        <v>0</v>
      </c>
      <c r="J625" s="189">
        <f ca="1">IFERROR(__xludf.DUMMYFUNCTION("IMPORTRANGE(""https://docs.google.com/spreadsheets/d/1SX6NBoVAgQJ6U1MVXOaj8PK2l7WJ3RER9xtqwdhxkhw/edit?usp=sharing"",""ปทุมธานี!J520"")"),0)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IFERROR(__xludf.DUMMYFUNCTION("IMPORTRANGE(""https://docs.google.com/spreadsheets/d/1SX6NBoVAgQJ6U1MVXOaj8PK2l7WJ3RER9xtqwdhxkhw/edit?usp=sharing"",""ปทุมธานี!I521"")"),0)</f>
        <v>0</v>
      </c>
      <c r="J626" s="189">
        <f ca="1">IFERROR(__xludf.DUMMYFUNCTION("IMPORTRANGE(""https://docs.google.com/spreadsheets/d/1SX6NBoVAgQJ6U1MVXOaj8PK2l7WJ3RER9xtqwdhxkhw/edit?usp=sharing"",""ปทุมธานี!J521"")"),0)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IFERROR(__xludf.DUMMYFUNCTION("IMPORTRANGE(""https://docs.google.com/spreadsheets/d/1SX6NBoVAgQJ6U1MVXOaj8PK2l7WJ3RER9xtqwdhxkhw/edit?usp=sharing"",""ปทุมธานี!I523"")"),980000)</f>
        <v>980000</v>
      </c>
      <c r="J628" s="342">
        <f ca="1">IFERROR(__xludf.DUMMYFUNCTION("IMPORTRANGE(""https://docs.google.com/spreadsheets/d/1SX6NBoVAgQJ6U1MVXOaj8PK2l7WJ3RER9xtqwdhxkhw/edit?usp=sharing"",""ปทุมธานี!J523"")"),868806.58)</f>
        <v>868806.58</v>
      </c>
      <c r="K628" s="343">
        <f t="shared" ref="K628:K635" ca="1" si="129">IF(I628&gt;0,J628*100/I628,0)</f>
        <v>88.653732653061226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IFERROR(__xludf.DUMMYFUNCTION("IMPORTRANGE(""https://docs.google.com/spreadsheets/d/1SX6NBoVAgQJ6U1MVXOaj8PK2l7WJ3RER9xtqwdhxkhw/edit?usp=sharing"",""ปทุมธานี!I524"")"),34)</f>
        <v>34</v>
      </c>
      <c r="J629" s="342">
        <f ca="1">IFERROR(__xludf.DUMMYFUNCTION("IMPORTRANGE(""https://docs.google.com/spreadsheets/d/1SX6NBoVAgQJ6U1MVXOaj8PK2l7WJ3RER9xtqwdhxkhw/edit?usp=sharing"",""ปทุมธานี!J524"")"),31)</f>
        <v>31</v>
      </c>
      <c r="K629" s="343">
        <f t="shared" ca="1" si="129"/>
        <v>91.17647058823529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2">
        <f ca="1">IFERROR(__xludf.DUMMYFUNCTION("IMPORTRANGE(""https://docs.google.com/spreadsheets/d/1SX6NBoVAgQJ6U1MVXOaj8PK2l7WJ3RER9xtqwdhxkhw/edit?usp=sharing"",""ปทุมธานี!J525"")"),29925.21)</f>
        <v>29925.21</v>
      </c>
      <c r="K630" s="343">
        <f t="shared" ca="1" si="129"/>
        <v>21.764930364712214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IFERROR(__xludf.DUMMYFUNCTION("IMPORTRANGE(""https://docs.google.com/spreadsheets/d/1SX6NBoVAgQJ6U1MVXOaj8PK2l7WJ3RER9xtqwdhxkhw/edit?usp=sharing"",""ปทุมธานี!I526"")"),4)</f>
        <v>4</v>
      </c>
      <c r="J631" s="342">
        <f ca="1">IFERROR(__xludf.DUMMYFUNCTION("IMPORTRANGE(""https://docs.google.com/spreadsheets/d/1SX6NBoVAgQJ6U1MVXOaj8PK2l7WJ3RER9xtqwdhxkhw/edit?usp=sharing"",""ปทุมธานี!J526"")"),3)</f>
        <v>3</v>
      </c>
      <c r="K631" s="343">
        <f t="shared" ca="1" si="129"/>
        <v>75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2">
        <f ca="1">IFERROR(__xludf.DUMMYFUNCTION("IMPORTRANGE(""https://docs.google.com/spreadsheets/d/1SX6NBoVAgQJ6U1MVXOaj8PK2l7WJ3RER9xtqwdhxkhw/edit?usp=sharing"",""ปทุมธานี!J527"")"),1963358.22)</f>
        <v>1963358.22</v>
      </c>
      <c r="K632" s="343">
        <f t="shared" ca="1" si="129"/>
        <v>48.852639108741293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IFERROR(__xludf.DUMMYFUNCTION("IMPORTRANGE(""https://docs.google.com/spreadsheets/d/1SX6NBoVAgQJ6U1MVXOaj8PK2l7WJ3RER9xtqwdhxkhw/edit?usp=sharing"",""ปทุมธานี!I528"")"),2074)</f>
        <v>2074</v>
      </c>
      <c r="J633" s="342">
        <f ca="1">IFERROR(__xludf.DUMMYFUNCTION("IMPORTRANGE(""https://docs.google.com/spreadsheets/d/1SX6NBoVAgQJ6U1MVXOaj8PK2l7WJ3RER9xtqwdhxkhw/edit?usp=sharing"",""ปทุมธานี!J528"")"),1505)</f>
        <v>1505</v>
      </c>
      <c r="K633" s="343">
        <f t="shared" ca="1" si="129"/>
        <v>72.565091610414655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IFERROR(__xludf.DUMMYFUNCTION("IMPORTRANGE(""https://docs.google.com/spreadsheets/d/1SX6NBoVAgQJ6U1MVXOaj8PK2l7WJ3RER9xtqwdhxkhw/edit?usp=sharing"",""ปทุมธานี!I529"")"),960000)</f>
        <v>960000</v>
      </c>
      <c r="J634" s="342">
        <f ca="1">IFERROR(__xludf.DUMMYFUNCTION("IMPORTRANGE(""https://docs.google.com/spreadsheets/d/1SX6NBoVAgQJ6U1MVXOaj8PK2l7WJ3RER9xtqwdhxkhw/edit?usp=sharing"",""ปทุมธานี!J529"")"),860000)</f>
        <v>860000</v>
      </c>
      <c r="K634" s="343">
        <f t="shared" ca="1" si="129"/>
        <v>89.583333333333329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IFERROR(__xludf.DUMMYFUNCTION("IMPORTRANGE(""https://docs.google.com/spreadsheets/d/1SX6NBoVAgQJ6U1MVXOaj8PK2l7WJ3RER9xtqwdhxkhw/edit?usp=sharing"",""ปทุมธานี!I530"")"),33)</f>
        <v>33</v>
      </c>
      <c r="J635" s="505">
        <f ca="1">IFERROR(__xludf.DUMMYFUNCTION("IMPORTRANGE(""https://docs.google.com/spreadsheets/d/1SX6NBoVAgQJ6U1MVXOaj8PK2l7WJ3RER9xtqwdhxkhw/edit?usp=sharing"",""ปทุมธานี!J530"")"),27)</f>
        <v>27</v>
      </c>
      <c r="K635" s="487">
        <f t="shared" ca="1" si="129"/>
        <v>81.818181818181813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49650</v>
      </c>
      <c r="M636" s="512"/>
      <c r="N636" s="511">
        <f ca="1">SUM(N637:N638)</f>
        <v>8200</v>
      </c>
      <c r="O636" s="511">
        <f t="shared" ref="O636:O640" ca="1" si="130">+IF(L636&gt;0,N636*100/L636,0)</f>
        <v>16.515609264853978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49650</v>
      </c>
      <c r="M638" s="522"/>
      <c r="N638" s="523">
        <f ca="1">SUM(N639:N640)</f>
        <v>8200</v>
      </c>
      <c r="O638" s="523">
        <f t="shared" ca="1" si="130"/>
        <v>16.515609264853978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49650</v>
      </c>
      <c r="M640" s="522"/>
      <c r="N640" s="523">
        <f ca="1">SUM(N641:N644)</f>
        <v>8200</v>
      </c>
      <c r="O640" s="523">
        <f t="shared" ca="1" si="130"/>
        <v>16.515609264853978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8200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IFERROR(__xludf.DUMMYFUNCTION("IMPORTRANGE(""https://docs.google.com/spreadsheets/d/1SX6NBoVAgQJ6U1MVXOaj8PK2l7WJ3RER9xtqwdhxkhw/edit#gid=346597447"",""ปทุมธานี!J541"")"),0)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IFERROR(__xludf.DUMMYFUNCTION("IMPORTRANGE(""https://docs.google.com/spreadsheets/d/1SX6NBoVAgQJ6U1MVXOaj8PK2l7WJ3RER9xtqwdhxkhw/edit#gid=346597447"",""ปทุมธานี!J542"")"),1)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IFERROR(__xludf.DUMMYFUNCTION("IMPORTRANGE(""https://docs.google.com/spreadsheets/d/1SX6NBoVAgQJ6U1MVXOaj8PK2l7WJ3RER9xtqwdhxkhw/edit#gid=346597447"",""ปทุมธานี!I543"")"),0)</f>
        <v>0</v>
      </c>
      <c r="J648" s="537">
        <f ca="1">IFERROR(__xludf.DUMMYFUNCTION("IMPORTRANGE(""https://docs.google.com/spreadsheets/d/1SX6NBoVAgQJ6U1MVXOaj8PK2l7WJ3RER9xtqwdhxkhw/edit#gid=346597447"",""ปทุมธานี!J543"")"),0)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IFERROR(__xludf.DUMMYFUNCTION("IMPORTRANGE(""https://docs.google.com/spreadsheets/d/1SX6NBoVAgQJ6U1MVXOaj8PK2l7WJ3RER9xtqwdhxkhw/edit#gid=346597447"",""ปทุมธานี!L543"")"),0)</f>
        <v>0</v>
      </c>
      <c r="M648" s="522"/>
      <c r="N648" s="539">
        <f ca="1">IFERROR(__xludf.DUMMYFUNCTION("IMPORTRANGE(""https://docs.google.com/spreadsheets/d/1SX6NBoVAgQJ6U1MVXOaj8PK2l7WJ3RER9xtqwdhxkhw/edit#gid=346597447"",""ปทุมธานี!M543"")"),0)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IFERROR(__xludf.DUMMYFUNCTION("IMPORTRANGE(""https://docs.google.com/spreadsheets/d/1SX6NBoVAgQJ6U1MVXOaj8PK2l7WJ3RER9xtqwdhxkhw/edit#gid=346597447"",""ปทุมธานี!I544"")"),60)</f>
        <v>60</v>
      </c>
      <c r="J649" s="537">
        <f ca="1">IFERROR(__xludf.DUMMYFUNCTION("IMPORTRANGE(""https://docs.google.com/spreadsheets/d/1SX6NBoVAgQJ6U1MVXOaj8PK2l7WJ3RER9xtqwdhxkhw/edit#gid=346597447"",""ปทุมธานี!J544"")"),0)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IFERROR(__xludf.DUMMYFUNCTION("IMPORTRANGE(""https://docs.google.com/spreadsheets/d/1SX6NBoVAgQJ6U1MVXOaj8PK2l7WJ3RER9xtqwdhxkhw/edit#gid=346597447"",""ปทุมธานี!L544"")"),7200)</f>
        <v>7200</v>
      </c>
      <c r="M649" s="522"/>
      <c r="N649" s="539">
        <f ca="1">IFERROR(__xludf.DUMMYFUNCTION("IMPORTRANGE(""https://docs.google.com/spreadsheets/d/1SX6NBoVAgQJ6U1MVXOaj8PK2l7WJ3RER9xtqwdhxkhw/edit#gid=346597447"",""ปทุมธานี!M544"")"),0)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IFERROR(__xludf.DUMMYFUNCTION("IMPORTRANGE(""https://docs.google.com/spreadsheets/d/1SX6NBoVAgQJ6U1MVXOaj8PK2l7WJ3RER9xtqwdhxkhw/edit#gid=346597447"",""ปทุมธานี!I545"")"),125)</f>
        <v>125</v>
      </c>
      <c r="J650" s="537">
        <f ca="1">IFERROR(__xludf.DUMMYFUNCTION("IMPORTRANGE(""https://docs.google.com/spreadsheets/d/1SX6NBoVAgQJ6U1MVXOaj8PK2l7WJ3RER9xtqwdhxkhw/edit#gid=346597447"",""ปทุมธานี!J545"")"),0)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IFERROR(__xludf.DUMMYFUNCTION("IMPORTRANGE(""https://docs.google.com/spreadsheets/d/1SX6NBoVAgQJ6U1MVXOaj8PK2l7WJ3RER9xtqwdhxkhw/edit#gid=346597447"",""ปทุมธานี!L545"")"),625)</f>
        <v>625</v>
      </c>
      <c r="M650" s="522"/>
      <c r="N650" s="539">
        <f ca="1">IFERROR(__xludf.DUMMYFUNCTION("IMPORTRANGE(""https://docs.google.com/spreadsheets/d/1SX6NBoVAgQJ6U1MVXOaj8PK2l7WJ3RER9xtqwdhxkhw/edit#gid=346597447"",""ปทุมธานี!M545"")"),0)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IFERROR(__xludf.DUMMYFUNCTION("IMPORTRANGE(""https://docs.google.com/spreadsheets/d/1SX6NBoVAgQJ6U1MVXOaj8PK2l7WJ3RER9xtqwdhxkhw/edit#gid=346597447"",""ปทุมธานี!I546"")"),505)</f>
        <v>505</v>
      </c>
      <c r="J651" s="537">
        <f ca="1">J657+J660</f>
        <v>748</v>
      </c>
      <c r="K651" s="538">
        <f t="shared" ca="1" si="131"/>
        <v>148.11881188118812</v>
      </c>
      <c r="L651" s="523">
        <f ca="1">IFERROR(__xludf.DUMMYFUNCTION("IMPORTRANGE(""https://docs.google.com/spreadsheets/d/1SX6NBoVAgQJ6U1MVXOaj8PK2l7WJ3RER9xtqwdhxkhw/edit#gid=346597447"",""ปทุมธานี!L546"")"),12625)</f>
        <v>12625</v>
      </c>
      <c r="M651" s="522"/>
      <c r="N651" s="539">
        <f ca="1">IFERROR(__xludf.DUMMYFUNCTION("IMPORTRANGE(""https://docs.google.com/spreadsheets/d/1SX6NBoVAgQJ6U1MVXOaj8PK2l7WJ3RER9xtqwdhxkhw/edit#gid=346597447"",""ปทุมธานี!M546"")"),6600)</f>
        <v>6600</v>
      </c>
      <c r="O651" s="538">
        <f t="shared" ca="1" si="132"/>
        <v>52.277227722772274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IFERROR(__xludf.DUMMYFUNCTION("IMPORTRANGE(""https://docs.google.com/spreadsheets/d/1SX6NBoVAgQJ6U1MVXOaj8PK2l7WJ3RER9xtqwdhxkhw/edit#gid=346597447"",""ปทุมธานี!J547"")"),44)</f>
        <v>44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IFERROR(__xludf.DUMMYFUNCTION("IMPORTRANGE(""https://docs.google.com/spreadsheets/d/1SX6NBoVAgQJ6U1MVXOaj8PK2l7WJ3RER9xtqwdhxkhw/edit#gid=346597447"",""ปทุมธานี!J548"")"),748)</f>
        <v>748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IFERROR(__xludf.DUMMYFUNCTION("IMPORTRANGE(""https://docs.google.com/spreadsheets/d/1SX6NBoVAgQJ6U1MVXOaj8PK2l7WJ3RER9xtqwdhxkhw/edit#gid=346597447"",""ปทุมธานี!J550"")"),8)</f>
        <v>8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IFERROR(__xludf.DUMMYFUNCTION("IMPORTRANGE(""https://docs.google.com/spreadsheets/d/1SX6NBoVAgQJ6U1MVXOaj8PK2l7WJ3RER9xtqwdhxkhw/edit#gid=346597447"",""ปทุมธานี!J551"")"),8)</f>
        <v>8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IFERROR(__xludf.DUMMYFUNCTION("IMPORTRANGE(""https://docs.google.com/spreadsheets/d/1SX6NBoVAgQJ6U1MVXOaj8PK2l7WJ3RER9xtqwdhxkhw/edit#gid=346597447"",""ปทุมธานี!J552"")"),138)</f>
        <v>138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IFERROR(__xludf.DUMMYFUNCTION("IMPORTRANGE(""https://docs.google.com/spreadsheets/d/1SX6NBoVAgQJ6U1MVXOaj8PK2l7WJ3RER9xtqwdhxkhw/edit#gid=346597447"",""ปทุมธานี!J553"")"),36)</f>
        <v>36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IFERROR(__xludf.DUMMYFUNCTION("IMPORTRANGE(""https://docs.google.com/spreadsheets/d/1SX6NBoVAgQJ6U1MVXOaj8PK2l7WJ3RER9xtqwdhxkhw/edit#gid=346597447"",""ปทุมธานี!J554"")"),36)</f>
        <v>36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IFERROR(__xludf.DUMMYFUNCTION("IMPORTRANGE(""https://docs.google.com/spreadsheets/d/1SX6NBoVAgQJ6U1MVXOaj8PK2l7WJ3RER9xtqwdhxkhw/edit#gid=346597447"",""ปทุมธานี!J555"")"),610)</f>
        <v>610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IFERROR(__xludf.DUMMYFUNCTION("IMPORTRANGE(""https://docs.google.com/spreadsheets/d/1SX6NBoVAgQJ6U1MVXOaj8PK2l7WJ3RER9xtqwdhxkhw/edit#gid=346597447"",""ปทุมธานี!J556"")"),0)</f>
        <v>0</v>
      </c>
      <c r="K661" s="538"/>
      <c r="L661" s="523">
        <f ca="1">IFERROR(__xludf.DUMMYFUNCTION("IMPORTRANGE(""https://docs.google.com/spreadsheets/d/1SX6NBoVAgQJ6U1MVXOaj8PK2l7WJ3RER9xtqwdhxkhw/edit#gid=346597447"",""ปทุมธานี!L556"")"),6000)</f>
        <v>6000</v>
      </c>
      <c r="M661" s="522"/>
      <c r="N661" s="539">
        <f ca="1">IFERROR(__xludf.DUMMYFUNCTION("IMPORTRANGE(""https://docs.google.com/spreadsheets/d/1SX6NBoVAgQJ6U1MVXOaj8PK2l7WJ3RER9xtqwdhxkhw/edit#gid=346597447"",""ปทุมธานี!M556"")"),0)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IFERROR(__xludf.DUMMYFUNCTION("IMPORTRANGE(""https://docs.google.com/spreadsheets/d/1SX6NBoVAgQJ6U1MVXOaj8PK2l7WJ3RER9xtqwdhxkhw/edit#gid=346597447"",""ปทุมธานี!J557"")"),0)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IFERROR(__xludf.DUMMYFUNCTION("IMPORTRANGE(""https://docs.google.com/spreadsheets/d/1SX6NBoVAgQJ6U1MVXOaj8PK2l7WJ3RER9xtqwdhxkhw/edit#gid=346597447"",""ปทุมธานี!I558"")"),150)</f>
        <v>150</v>
      </c>
      <c r="J663" s="537">
        <f ca="1">IFERROR(__xludf.DUMMYFUNCTION("IMPORTRANGE(""https://docs.google.com/spreadsheets/d/1SX6NBoVAgQJ6U1MVXOaj8PK2l7WJ3RER9xtqwdhxkhw/edit#gid=346597447"",""ปทุมธานี!J558"")"),0)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IFERROR(__xludf.DUMMYFUNCTION("IMPORTRANGE(""https://docs.google.com/spreadsheets/d/1SX6NBoVAgQJ6U1MVXOaj8PK2l7WJ3RER9xtqwdhxkhw/edit#gid=346597447"",""ปทุมธานี!I560"")"),30)</f>
        <v>30</v>
      </c>
      <c r="J665" s="537">
        <f ca="1">IFERROR(__xludf.DUMMYFUNCTION("IMPORTRANGE(""https://docs.google.com/spreadsheets/d/1SX6NBoVAgQJ6U1MVXOaj8PK2l7WJ3RER9xtqwdhxkhw/edit#gid=346597447"",""ปทุมธานี!J560"")"),0)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IFERROR(__xludf.DUMMYFUNCTION("IMPORTRANGE(""https://docs.google.com/spreadsheets/d/1SX6NBoVAgQJ6U1MVXOaj8PK2l7WJ3RER9xtqwdhxkhw/edit#gid=346597447"",""ปทุมธานี!L560"")"),3600)</f>
        <v>3600</v>
      </c>
      <c r="M665" s="522"/>
      <c r="N665" s="539">
        <f ca="1">IFERROR(__xludf.DUMMYFUNCTION("IMPORTRANGE(""https://docs.google.com/spreadsheets/d/1SX6NBoVAgQJ6U1MVXOaj8PK2l7WJ3RER9xtqwdhxkhw/edit#gid=346597447"",""ปทุมธานี!M560"")"),0)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IFERROR(__xludf.DUMMYFUNCTION("IMPORTRANGE(""https://docs.google.com/spreadsheets/d/1SX6NBoVAgQJ6U1MVXOaj8PK2l7WJ3RER9xtqwdhxkhw/edit#gid=346597447"",""ปทุมธานี!J561"")"),0)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IFERROR(__xludf.DUMMYFUNCTION("IMPORTRANGE(""https://docs.google.com/spreadsheets/d/1SX6NBoVAgQJ6U1MVXOaj8PK2l7WJ3RER9xtqwdhxkhw/edit#gid=346597447"",""ปทุมธานี!J562"")"),0)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IFERROR(__xludf.DUMMYFUNCTION("IMPORTRANGE(""https://docs.google.com/spreadsheets/d/1SX6NBoVAgQJ6U1MVXOaj8PK2l7WJ3RER9xtqwdhxkhw/edit#gid=346597447"",""ปทุมธานี!I563"")"),30)</f>
        <v>30</v>
      </c>
      <c r="J668" s="537">
        <f ca="1">IFERROR(__xludf.DUMMYFUNCTION("IMPORTRANGE(""https://docs.google.com/spreadsheets/d/1SX6NBoVAgQJ6U1MVXOaj8PK2l7WJ3RER9xtqwdhxkhw/edit#gid=346597447"",""ปทุมธานี!J563"")"),0)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IFERROR(__xludf.DUMMYFUNCTION("IMPORTRANGE(""https://docs.google.com/spreadsheets/d/1SX6NBoVAgQJ6U1MVXOaj8PK2l7WJ3RER9xtqwdhxkhw/edit#gid=346597447"",""ปทุมธานี!L563"")"),15600)</f>
        <v>15600</v>
      </c>
      <c r="M668" s="522"/>
      <c r="N668" s="539">
        <f ca="1">IFERROR(__xludf.DUMMYFUNCTION("IMPORTRANGE(""https://docs.google.com/spreadsheets/d/1SX6NBoVAgQJ6U1MVXOaj8PK2l7WJ3RER9xtqwdhxkhw/edit#gid=346597447"",""ปทุมธานี!M563"")"),1000)</f>
        <v>1000</v>
      </c>
      <c r="O668" s="538">
        <f ca="1">IF(L668&gt;0,N668*100/L668,0)</f>
        <v>6.4102564102564106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IFERROR(__xludf.DUMMYFUNCTION("IMPORTRANGE(""https://docs.google.com/spreadsheets/d/1SX6NBoVAgQJ6U1MVXOaj8PK2l7WJ3RER9xtqwdhxkhw/edit#gid=346597447"",""ปทุมธานี!J564"")"),0)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IFERROR(__xludf.DUMMYFUNCTION("IMPORTRANGE(""https://docs.google.com/spreadsheets/d/1SX6NBoVAgQJ6U1MVXOaj8PK2l7WJ3RER9xtqwdhxkhw/edit#gid=346597447"",""ปทุมธานี!J565"")"),0)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IFERROR(__xludf.DUMMYFUNCTION("IMPORTRANGE(""https://docs.google.com/spreadsheets/d/1SX6NBoVAgQJ6U1MVXOaj8PK2l7WJ3RER9xtqwdhxkhw/edit#gid=346597447"",""ปทุมธานี!I566"")"),50)</f>
        <v>50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IFERROR(__xludf.DUMMYFUNCTION("IMPORTRANGE(""https://docs.google.com/spreadsheets/d/1SX6NBoVAgQJ6U1MVXOaj8PK2l7WJ3RER9xtqwdhxkhw/edit#gid=346597447"",""ปทุมธานี!L566"")"),4000)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IFERROR(__xludf.DUMMYFUNCTION("IMPORTRANGE(""https://docs.google.com/spreadsheets/d/1SX6NBoVAgQJ6U1MVXOaj8PK2l7WJ3RER9xtqwdhxkhw/edit#gid=346597447"",""ปทุมธานี!M566"")"),600)</f>
        <v>600</v>
      </c>
      <c r="O671" s="538">
        <f ca="1">IF(L671&gt;0,N671*100/L671,0)</f>
        <v>15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IFERROR(__xludf.DUMMYFUNCTION("IMPORTRANGE(""https://docs.google.com/spreadsheets/d/1SX6NBoVAgQJ6U1MVXOaj8PK2l7WJ3RER9xtqwdhxkhw/edit#gid=346597447"",""ปทุมธานี!J567"")"),0)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IFERROR(__xludf.DUMMYFUNCTION("IMPORTRANGE(""https://docs.google.com/spreadsheets/d/1SX6NBoVAgQJ6U1MVXOaj8PK2l7WJ3RER9xtqwdhxkhw/edit#gid=346597447"",""ปทุมธานี!J568"")"),0)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IFERROR(__xludf.DUMMYFUNCTION("IMPORTRANGE(""https://docs.google.com/spreadsheets/d/1SX6NBoVAgQJ6U1MVXOaj8PK2l7WJ3RER9xtqwdhxkhw/edit#gid=346597447"",""ปทุมธานี!J569"")"),0)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IFERROR(__xludf.DUMMYFUNCTION("IMPORTRANGE(""https://docs.google.com/spreadsheets/d/1SX6NBoVAgQJ6U1MVXOaj8PK2l7WJ3RER9xtqwdhxkhw/edit#gid=346597447"",""ปทุมธานี!J570"")"),0)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IFERROR(__xludf.DUMMYFUNCTION("IMPORTRANGE(""https://docs.google.com/spreadsheets/d/1SX6NBoVAgQJ6U1MVXOaj8PK2l7WJ3RER9xtqwdhxkhw/edit#gid=346597447"",""ปทุมธานี!J571"")"),0)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IFERROR(__xludf.DUMMYFUNCTION("IMPORTRANGE(""https://docs.google.com/spreadsheets/d/1SX6NBoVAgQJ6U1MVXOaj8PK2l7WJ3RER9xtqwdhxkhw/edit#gid=346597447"",""ปทุมธานี!J572"")"),0)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2920849</v>
      </c>
      <c r="M8" s="23">
        <f t="shared" ca="1" si="0"/>
        <v>1898736.77</v>
      </c>
      <c r="N8" s="23">
        <f t="shared" ca="1" si="0"/>
        <v>2463521.87</v>
      </c>
      <c r="O8" s="22">
        <f t="shared" ref="O8:O16" ca="1" si="1">IF(L8&gt;0,N8*100/L8,0)</f>
        <v>84.342664410245106</v>
      </c>
      <c r="P8" s="22">
        <f t="shared" ref="P8:P16" ca="1" si="2">IF(M8&gt;0,N8*100/M8,0)</f>
        <v>129.74530798179043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2920849</v>
      </c>
      <c r="M10" s="30">
        <f t="shared" ca="1" si="4"/>
        <v>1898736.77</v>
      </c>
      <c r="N10" s="30">
        <f t="shared" ca="1" si="4"/>
        <v>2463521.87</v>
      </c>
      <c r="O10" s="29">
        <f t="shared" ca="1" si="1"/>
        <v>84.342664410245106</v>
      </c>
      <c r="P10" s="29">
        <f t="shared" ca="1" si="2"/>
        <v>129.74530798179043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2773849</v>
      </c>
      <c r="M12" s="38">
        <f t="shared" ca="1" si="6"/>
        <v>1751736.77</v>
      </c>
      <c r="N12" s="38">
        <f t="shared" ca="1" si="6"/>
        <v>2316521.87</v>
      </c>
      <c r="O12" s="38">
        <f t="shared" ca="1" si="1"/>
        <v>83.512904631795024</v>
      </c>
      <c r="P12" s="38">
        <f t="shared" ca="1" si="2"/>
        <v>132.24143659438056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1379500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1394349</v>
      </c>
      <c r="M14" s="38">
        <f t="shared" si="8"/>
        <v>0</v>
      </c>
      <c r="N14" s="38">
        <f t="shared" ca="1" si="8"/>
        <v>860869.57000000007</v>
      </c>
      <c r="O14" s="38">
        <f t="shared" ca="1" si="1"/>
        <v>61.739892236448696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1871070</v>
      </c>
      <c r="M18" s="23">
        <f t="shared" ca="1" si="11"/>
        <v>1898736.77</v>
      </c>
      <c r="N18" s="23">
        <f t="shared" ca="1" si="11"/>
        <v>1602652.3</v>
      </c>
      <c r="O18" s="22">
        <f t="shared" ref="O18:O20" ca="1" si="12">IF(L18&gt;0,N18*100/L18,0)</f>
        <v>85.654320789708564</v>
      </c>
      <c r="P18" s="22">
        <f t="shared" ref="P18:P26" ca="1" si="13">IF(M18&gt;0,N18*100/M18,0)</f>
        <v>84.406239207133481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1871070</v>
      </c>
      <c r="M20" s="30">
        <f t="shared" ca="1" si="15"/>
        <v>1898736.77</v>
      </c>
      <c r="N20" s="30">
        <f t="shared" ca="1" si="15"/>
        <v>1602652.3</v>
      </c>
      <c r="O20" s="29">
        <f t="shared" ca="1" si="12"/>
        <v>85.654320789708564</v>
      </c>
      <c r="P20" s="29">
        <f t="shared" ca="1" si="13"/>
        <v>84.406239207133481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1724070</v>
      </c>
      <c r="M22" s="41">
        <f t="shared" ca="1" si="18"/>
        <v>1751736.77</v>
      </c>
      <c r="N22" s="38">
        <f t="shared" ca="1" si="18"/>
        <v>1455652.3</v>
      </c>
      <c r="O22" s="38">
        <f t="shared" ca="1" si="17"/>
        <v>84.431159987703509</v>
      </c>
      <c r="P22" s="38">
        <f t="shared" ca="1" si="13"/>
        <v>83.097661984911127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1379500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344570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1049779</v>
      </c>
      <c r="M28" s="23">
        <f t="shared" si="23"/>
        <v>0</v>
      </c>
      <c r="N28" s="23">
        <f t="shared" ca="1" si="23"/>
        <v>860869.57000000007</v>
      </c>
      <c r="O28" s="22">
        <f t="shared" ref="O28:O30" ca="1" si="24">IF(L28&gt;0,N28*100/L28,0)</f>
        <v>82.004838161174874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1049779</v>
      </c>
      <c r="M30" s="30">
        <f t="shared" si="27"/>
        <v>0</v>
      </c>
      <c r="N30" s="30">
        <f t="shared" ca="1" si="27"/>
        <v>860869.57000000007</v>
      </c>
      <c r="O30" s="29">
        <f t="shared" ca="1" si="24"/>
        <v>82.004838161174874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1049779</v>
      </c>
      <c r="M32" s="38">
        <f t="shared" si="30"/>
        <v>0</v>
      </c>
      <c r="N32" s="38">
        <f t="shared" ca="1" si="30"/>
        <v>860869.57000000007</v>
      </c>
      <c r="O32" s="38">
        <f t="shared" ca="1" si="29"/>
        <v>82.004838161174874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1049779</v>
      </c>
      <c r="M34" s="38">
        <f t="shared" si="32"/>
        <v>0</v>
      </c>
      <c r="N34" s="38">
        <f t="shared" ca="1" si="32"/>
        <v>860869.57000000007</v>
      </c>
      <c r="O34" s="38">
        <f t="shared" ca="1" si="29"/>
        <v>82.004838161174874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1898736.77</v>
      </c>
      <c r="N37" s="54">
        <f t="shared" ca="1" si="33"/>
        <v>1602652.3</v>
      </c>
      <c r="O37" s="55">
        <f t="shared" ca="1" si="29"/>
        <v>85.654320789708564</v>
      </c>
      <c r="P37" s="55">
        <f t="shared" ca="1" si="25"/>
        <v>84.406239207133481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574400</v>
      </c>
      <c r="N41" s="78">
        <f t="shared" ca="1" si="34"/>
        <v>528295.61</v>
      </c>
      <c r="O41" s="77">
        <f t="shared" ref="O41:O43" ca="1" si="35">IF(L41&gt;0,N41*100/L41,0)</f>
        <v>91.973469707520891</v>
      </c>
      <c r="P41" s="77">
        <f t="shared" ref="P41:P43" ca="1" si="36">IF(M41&gt;0,N41*100/M41,0)</f>
        <v>91.973469707520891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574400</v>
      </c>
      <c r="N43" s="78">
        <f t="shared" ca="1" si="38"/>
        <v>528295.61</v>
      </c>
      <c r="O43" s="77">
        <f t="shared" ca="1" si="35"/>
        <v>91.973469707520891</v>
      </c>
      <c r="P43" s="77">
        <f t="shared" ca="1" si="36"/>
        <v>91.973469707520891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574400</v>
      </c>
      <c r="M45" s="49">
        <f ca="1">IFERROR(__xludf.DUMMYFUNCTION("IMPORTRANGE(""https://docs.google.com/spreadsheets/d/1Yj_ptqi66GCucihVvJfMjLAmec39IyEx_6qawtMGysU/edit?usp=sharing"",""สบก!Q68"")"),574400)</f>
        <v>574400</v>
      </c>
      <c r="N45" s="49">
        <f ca="1">IFERROR(__xludf.DUMMYFUNCTION("IMPORTRANGE(""https://docs.google.com/spreadsheets/d/1Yj_ptqi66GCucihVvJfMjLAmec39IyEx_6qawtMGysU/edit?usp=sharing"",""สบก!R68"")"),528295.61)</f>
        <v>528295.61</v>
      </c>
      <c r="O45" s="38">
        <f ca="1">IF(L45&gt;0,N45*100/L45,0)</f>
        <v>91.973469707520891</v>
      </c>
      <c r="P45" s="38">
        <f ca="1">IF(M45&gt;0,N45*100/M45,0)</f>
        <v>91.973469707520891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IFERROR(__xludf.DUMMYFUNCTION("IMPORTRANGE(""https://docs.google.com/spreadsheets/d/1Yj_ptqi66GCucihVvJfMjLAmec39IyEx_6qawtMGysU/edit?usp=sharing"",""สบก!M68"")"),574400)</f>
        <v>574400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IFERROR(__xludf.DUMMYFUNCTION("IMPORTRANGE(""https://docs.google.com/spreadsheets/d/1Yj_ptqi66GCucihVvJfMjLAmec39IyEx_6qawtMGysU/edit?usp=sharing"",""สบก!O68"")"),0)</f>
        <v>0</v>
      </c>
      <c r="M49" s="49"/>
      <c r="N49" s="49">
        <f ca="1">IFERROR(__xludf.DUMMYFUNCTION("IMPORTRANGE(""https://docs.google.com/spreadsheets/d/1Yj_ptqi66GCucihVvJfMjLAmec39IyEx_6qawtMGysU/edit?usp=sharing"",""สบก!S68"")"),0)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296096.77</v>
      </c>
      <c r="N53" s="121">
        <f t="shared" ca="1" si="39"/>
        <v>245096.77</v>
      </c>
      <c r="O53" s="120">
        <f t="shared" ref="O53:O55" ca="1" si="40">IF(L53&gt;0,N53*100/L53,0)</f>
        <v>81.69892333333334</v>
      </c>
      <c r="P53" s="120">
        <f t="shared" ref="P53:P55" ca="1" si="41">IF(M53&gt;0,N53*100/M53,0)</f>
        <v>82.775901270385347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296096.77</v>
      </c>
      <c r="N55" s="121">
        <f t="shared" ca="1" si="43"/>
        <v>245096.77</v>
      </c>
      <c r="O55" s="120">
        <f t="shared" ca="1" si="40"/>
        <v>81.69892333333334</v>
      </c>
      <c r="P55" s="120">
        <f t="shared" ca="1" si="41"/>
        <v>82.775901270385347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IFERROR(__xludf.DUMMYFUNCTION("IMPORTRANGE(""https://docs.google.com/spreadsheets/d/1Yj_ptqi66GCucihVvJfMjLAmec39IyEx_6qawtMGysU/edit?usp=sharing"",""สบก!Z68"")"),296096.77)</f>
        <v>296096.77</v>
      </c>
      <c r="N57" s="49">
        <f ca="1">IFERROR(__xludf.DUMMYFUNCTION("IMPORTRANGE(""https://docs.google.com/spreadsheets/d/1Yj_ptqi66GCucihVvJfMjLAmec39IyEx_6qawtMGysU/edit?usp=sharing"",""สบก!AA68"")"),245096.77)</f>
        <v>245096.77</v>
      </c>
      <c r="O57" s="38">
        <f ca="1">IF(L57&gt;0,N57*100/L57,0)</f>
        <v>81.69892333333334</v>
      </c>
      <c r="P57" s="38">
        <f ca="1">IF(M57&gt;0,N57*100/M57,0)</f>
        <v>82.775901270385347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IFERROR(__xludf.DUMMYFUNCTION("IMPORTRANGE(""https://docs.google.com/spreadsheets/d/1Yj_ptqi66GCucihVvJfMjLAmec39IyEx_6qawtMGysU/edit?usp=sharing"",""สบก!V68"")"),300000)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IFERROR(__xludf.DUMMYFUNCTION("IMPORTRANGE(""https://docs.google.com/spreadsheets/d/1Yj_ptqi66GCucihVvJfMjLAmec39IyEx_6qawtMGysU/edit?usp=sharing"",""สบก!X68"")"),0)</f>
        <v>0</v>
      </c>
      <c r="M61" s="49"/>
      <c r="N61" s="49">
        <f ca="1">IFERROR(__xludf.DUMMYFUNCTION("IMPORTRANGE(""https://docs.google.com/spreadsheets/d/1Yj_ptqi66GCucihVvJfMjLAmec39IyEx_6qawtMGysU/edit?usp=sharing"",""สบก!AB68"")"),0)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2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2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IFERROR(__xludf.DUMMYFUNCTION("IMPORTRANGE(""https://docs.google.com/spreadsheets/d/1Yj_ptqi66GCucihVvJfMjLAmec39IyEx_6qawtMGysU/edit?usp=sharing"",""สบก!AI68"")"),0)</f>
        <v>0</v>
      </c>
      <c r="N70" s="169">
        <f ca="1">IFERROR(__xludf.DUMMYFUNCTION("IMPORTRANGE(""https://docs.google.com/spreadsheets/d/1Yj_ptqi66GCucihVvJfMjLAmec39IyEx_6qawtMGysU/edit?usp=sharing"",""สบก!AJ68"")"),0)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IFERROR(__xludf.DUMMYFUNCTION("IMPORTRANGE(""https://docs.google.com/spreadsheets/d/1Yj_ptqi66GCucihVvJfMjLAmec39IyEx_6qawtMGysU/edit?usp=sharing"",""สบก!AG68"")"),0)</f>
        <v>0</v>
      </c>
      <c r="M74" s="49"/>
      <c r="N74" s="49">
        <f ca="1">IFERROR(__xludf.DUMMYFUNCTION("IMPORTRANGE(""https://docs.google.com/spreadsheets/d/1Yj_ptqi66GCucihVvJfMjLAmec39IyEx_6qawtMGysU/edit?usp=sharing"",""สบก!AK68"")"),0)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1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1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4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4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89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89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4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4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4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2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2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IFERROR(__xludf.DUMMYFUNCTION("IMPORTRANGE(""https://docs.google.com/spreadsheets/d/1Yj_ptqi66GCucihVvJfMjLAmec39IyEx_6qawtMGysU/edit?usp=sharing"",""สบก!AR68"")"),0)</f>
        <v>0</v>
      </c>
      <c r="N98" s="169">
        <f ca="1">IFERROR(__xludf.DUMMYFUNCTION("IMPORTRANGE(""https://docs.google.com/spreadsheets/d/1Yj_ptqi66GCucihVvJfMjLAmec39IyEx_6qawtMGysU/edit?usp=sharing"",""สบก!AS68"")"),0)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IFERROR(__xludf.DUMMYFUNCTION("IMPORTRANGE(""https://docs.google.com/spreadsheets/d/1Yj_ptqi66GCucihVvJfMjLAmec39IyEx_6qawtMGysU/edit?usp=sharing"",""สบก!AP68"")"),0)</f>
        <v>0</v>
      </c>
      <c r="M102" s="49"/>
      <c r="N102" s="49">
        <f ca="1">IFERROR(__xludf.DUMMYFUNCTION("IMPORTRANGE(""https://docs.google.com/spreadsheets/d/1Yj_ptqi66GCucihVvJfMjLAmec39IyEx_6qawtMGysU/edit?usp=sharing"",""สบก!AT68"")"),0)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4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4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4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4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4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4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2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IFERROR(__xludf.DUMMYFUNCTION("IMPORTRANGE(""https://docs.google.com/spreadsheets/d/1Yj_ptqi66GCucihVvJfMjLAmec39IyEx_6qawtMGysU/edit?usp=sharing"",""สบก!BA68"")"),0)</f>
        <v>0</v>
      </c>
      <c r="N122" s="169">
        <f ca="1">IFERROR(__xludf.DUMMYFUNCTION("IMPORTRANGE(""https://docs.google.com/spreadsheets/d/1Yj_ptqi66GCucihVvJfMjLAmec39IyEx_6qawtMGysU/edit?usp=sharing"",""สบก!BB68"")"),0)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IFERROR(__xludf.DUMMYFUNCTION("IMPORTRANGE(""https://docs.google.com/spreadsheets/d/1Yj_ptqi66GCucihVvJfMjLAmec39IyEx_6qawtMGysU/edit?usp=sharing"",""สบก!AX68"")"),0)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IFERROR(__xludf.DUMMYFUNCTION("IMPORTRANGE(""https://docs.google.com/spreadsheets/d/1Yj_ptqi66GCucihVvJfMjLAmec39IyEx_6qawtMGysU/edit?usp=sharing"",""สบก!AY68"")"),0)</f>
        <v>0</v>
      </c>
      <c r="M126" s="49"/>
      <c r="N126" s="49">
        <f ca="1">IFERROR(__xludf.DUMMYFUNCTION("IMPORTRANGE(""https://docs.google.com/spreadsheets/d/1Yj_ptqi66GCucihVvJfMjLAmec39IyEx_6qawtMGysU/edit?usp=sharing"",""สบก!BC68"")"),0)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4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4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8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44500</v>
      </c>
      <c r="M140" s="152">
        <f t="shared" ca="1" si="64"/>
        <v>44500</v>
      </c>
      <c r="N140" s="152">
        <f t="shared" ca="1" si="64"/>
        <v>39357</v>
      </c>
      <c r="O140" s="151">
        <f t="shared" ref="O140:O142" ca="1" si="65">IF(L140&gt;0,N140*100/L140,0)</f>
        <v>88.442696629213486</v>
      </c>
      <c r="P140" s="151">
        <f t="shared" ref="P140:P142" ca="1" si="66">IF(M140&gt;0,N140*100/M140,0)</f>
        <v>88.442696629213486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44500</v>
      </c>
      <c r="M142" s="157">
        <f t="shared" ca="1" si="68"/>
        <v>44500</v>
      </c>
      <c r="N142" s="157">
        <f t="shared" ca="1" si="68"/>
        <v>39357</v>
      </c>
      <c r="O142" s="156">
        <f t="shared" ca="1" si="65"/>
        <v>88.442696629213486</v>
      </c>
      <c r="P142" s="156">
        <f t="shared" ca="1" si="66"/>
        <v>88.442696629213486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44500</v>
      </c>
      <c r="M144" s="168">
        <f ca="1">IFERROR(__xludf.DUMMYFUNCTION("IMPORTRANGE(""https://docs.google.com/spreadsheets/d/1Yj_ptqi66GCucihVvJfMjLAmec39IyEx_6qawtMGysU/edit?usp=sharing"",""สบก!BJ68"")"),44500)</f>
        <v>44500</v>
      </c>
      <c r="N144" s="169">
        <f ca="1">IFERROR(__xludf.DUMMYFUNCTION("IMPORTRANGE(""https://docs.google.com/spreadsheets/d/1Yj_ptqi66GCucihVvJfMjLAmec39IyEx_6qawtMGysU/edit?usp=sharing"",""สบก!BK68"")"),39357)</f>
        <v>39357</v>
      </c>
      <c r="O144" s="169">
        <f ca="1">IF(L144&gt;0,N144*100/L144,0)</f>
        <v>88.442696629213486</v>
      </c>
      <c r="P144" s="169">
        <f ca="1">IF(M144&gt;0,N144*100/M144,0)</f>
        <v>88.442696629213486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IFERROR(__xludf.DUMMYFUNCTION("IMPORTRANGE(""https://docs.google.com/spreadsheets/d/1Yj_ptqi66GCucihVvJfMjLAmec39IyEx_6qawtMGysU/edit?usp=sharing"",""สบก!BG68"")"),44500)</f>
        <v>44500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IFERROR(__xludf.DUMMYFUNCTION("IMPORTRANGE(""https://docs.google.com/spreadsheets/d/1Yj_ptqi66GCucihVvJfMjLAmec39IyEx_6qawtMGysU/edit?usp=sharing"",""สบก!BH68"")"),0)</f>
        <v>0</v>
      </c>
      <c r="M148" s="49"/>
      <c r="N148" s="49">
        <f ca="1">IFERROR(__xludf.DUMMYFUNCTION("IMPORTRANGE(""https://docs.google.com/spreadsheets/d/1Yj_ptqi66GCucihVvJfMjLAmec39IyEx_6qawtMGysU/edit?usp=sharing"",""สบก!BL68"")"),0)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6">
        <f ca="1">IFERROR(__xludf.DUMMYFUNCTION("IMPORTRANGE(""https://docs.google.com/spreadsheets/d/1SX6NBoVAgQJ6U1MVXOaj8PK2l7WJ3RER9xtqwdhxkhw/edit?usp=sharing"",""ประจวบคีรีขันธ์!J74"")"),3)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89">
        <f ca="1">IFERROR(__xludf.DUMMYFUNCTION("IMPORTRANGE(""https://docs.google.com/spreadsheets/d/1SX6NBoVAgQJ6U1MVXOaj8PK2l7WJ3RER9xtqwdhxkhw/edit?usp=sharing"",""ประจวบคีรีขันธ์!J83"")"),3)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IFERROR(__xludf.DUMMYFUNCTION("IMPORTRANGE(""https://docs.google.com/spreadsheets/d/1SX6NBoVAgQJ6U1MVXOaj8PK2l7WJ3RER9xtqwdhxkhw/edit?usp=sharing"",""ประจวบคีรีขันธ์!J84"")"),99)</f>
        <v>99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IFERROR(__xludf.DUMMYFUNCTION("IMPORTRANGE(""https://docs.google.com/spreadsheets/d/1SX6NBoVAgQJ6U1MVXOaj8PK2l7WJ3RER9xtqwdhxkhw/edit?usp=sharing"",""ประจวบคีรีขันธ์!J85"")"),99)</f>
        <v>99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5">
        <f ca="1">IFERROR(__xludf.DUMMYFUNCTION("IMPORTRANGE(""https://docs.google.com/spreadsheets/d/1SX6NBoVAgQJ6U1MVXOaj8PK2l7WJ3RER9xtqwdhxkhw/edit?usp=sharing"",""ประจวบคีรีขันธ์!J89"")"),2)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89">
        <f ca="1">IFERROR(__xludf.DUMMYFUNCTION("IMPORTRANGE(""https://docs.google.com/spreadsheets/d/1SX6NBoVAgQJ6U1MVXOaj8PK2l7WJ3RER9xtqwdhxkhw/edit?usp=sharing"",""ประจวบคีรีขันธ์!J98"")"),2)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IFERROR(__xludf.DUMMYFUNCTION("IMPORTRANGE(""https://docs.google.com/spreadsheets/d/1SX6NBoVAgQJ6U1MVXOaj8PK2l7WJ3RER9xtqwdhxkhw/edit?usp=sharing"",""ประจวบคีรีขันธ์!J99"")"),1)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IFERROR(__xludf.DUMMYFUNCTION("IMPORTRANGE(""https://docs.google.com/spreadsheets/d/1SX6NBoVAgQJ6U1MVXOaj8PK2l7WJ3RER9xtqwdhxkhw/edit?usp=sharing"",""ประจวบคีรีขันธ์!J100"")"),1)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5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4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4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5">
        <f ca="1">IFERROR(__xludf.DUMMYFUNCTION("IMPORTRANGE(""https://docs.google.com/spreadsheets/d/1SX6NBoVAgQJ6U1MVXOaj8PK2l7WJ3RER9xtqwdhxkhw/edit?usp=sharing"",""ประจวบคีรีขันธ์!J114"")"),20000)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89">
        <f ca="1">IFERROR(__xludf.DUMMYFUNCTION("IMPORTRANGE(""https://docs.google.com/spreadsheets/d/1SX6NBoVAgQJ6U1MVXOaj8PK2l7WJ3RER9xtqwdhxkhw/edit?usp=sharing"",""ประจวบคีรีขันธ์!J124"")"),20000)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89">
        <f ca="1">IFERROR(__xludf.DUMMYFUNCTION("IMPORTRANGE(""https://docs.google.com/spreadsheets/d/1SX6NBoVAgQJ6U1MVXOaj8PK2l7WJ3RER9xtqwdhxkhw/edit?usp=sharing"",""ประจวบคีรีขันธ์!J125"")"),20000)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89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IFERROR(__xludf.DUMMYFUNCTION("IMPORTRANGE(""https://docs.google.com/spreadsheets/d/1SX6NBoVAgQJ6U1MVXOaj8PK2l7WJ3RER9xtqwdhxkhw/edit?usp=sharing"",""ประจวบคีรีขันธ์!J127"")"),1)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IFERROR(__xludf.DUMMYFUNCTION("IMPORTRANGE(""https://docs.google.com/spreadsheets/d/1SX6NBoVAgQJ6U1MVXOaj8PK2l7WJ3RER9xtqwdhxkhw/edit?usp=sharing"",""ประจวบคีรีขันธ์!J128"")"),1)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5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4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4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4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8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IFERROR(__xludf.DUMMYFUNCTION("IMPORTRANGE(""https://docs.google.com/spreadsheets/d/1Yj_ptqi66GCucihVvJfMjLAmec39IyEx_6qawtMGysU/edit?usp=sharing"",""สบก!BS68"")"),20210)</f>
        <v>20210</v>
      </c>
      <c r="N224" s="169">
        <f ca="1">IFERROR(__xludf.DUMMYFUNCTION("IMPORTRANGE(""https://docs.google.com/spreadsheets/d/1Yj_ptqi66GCucihVvJfMjLAmec39IyEx_6qawtMGysU/edit?usp=sharing"",""สบก!BT68"")"),20210)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IFERROR(__xludf.DUMMYFUNCTION("IMPORTRANGE(""https://docs.google.com/spreadsheets/d/1Yj_ptqi66GCucihVvJfMjLAmec39IyEx_6qawtMGysU/edit?usp=sharing"",""สบก!BP68"")"),20210)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IFERROR(__xludf.DUMMYFUNCTION("IMPORTRANGE(""https://docs.google.com/spreadsheets/d/1Yj_ptqi66GCucihVvJfMjLAmec39IyEx_6qawtMGysU/edit?usp=sharing"",""สบก!BQ68"")"),0)</f>
        <v>0</v>
      </c>
      <c r="M228" s="49"/>
      <c r="N228" s="49">
        <f ca="1">IFERROR(__xludf.DUMMYFUNCTION("IMPORTRANGE(""https://docs.google.com/spreadsheets/d/1Yj_ptqi66GCucihVvJfMjLAmec39IyEx_6qawtMGysU/edit?usp=sharing"",""สบก!BU68"")"),0)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8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89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8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IFERROR(__xludf.DUMMYFUNCTION("IMPORTRANGE(""https://docs.google.com/spreadsheets/d/1Yj_ptqi66GCucihVvJfMjLAmec39IyEx_6qawtMGysU/edit?usp=sharing"",""สบก!CB68"")"),0)</f>
        <v>0</v>
      </c>
      <c r="N254" s="169">
        <f ca="1">IFERROR(__xludf.DUMMYFUNCTION("IMPORTRANGE(""https://docs.google.com/spreadsheets/d/1Yj_ptqi66GCucihVvJfMjLAmec39IyEx_6qawtMGysU/edit?usp=sharing"",""สบก!CC68"")"),0)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IFERROR(__xludf.DUMMYFUNCTION("IMPORTRANGE(""https://docs.google.com/spreadsheets/d/1Yj_ptqi66GCucihVvJfMjLAmec39IyEx_6qawtMGysU/edit?usp=sharing"",""สบก!BZ68"")"),0)</f>
        <v>0</v>
      </c>
      <c r="M258" s="49"/>
      <c r="N258" s="49">
        <f ca="1">IFERROR(__xludf.DUMMYFUNCTION("IMPORTRANGE(""https://docs.google.com/spreadsheets/d/1Yj_ptqi66GCucihVvJfMjLAmec39IyEx_6qawtMGysU/edit?usp=sharing"",""สบก!CD68"")"),0)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89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89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89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89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IFERROR(__xludf.DUMMYFUNCTION("IMPORTRANGE(""https://docs.google.com/spreadsheets/d/1Yj_ptqi66GCucihVvJfMjLAmec39IyEx_6qawtMGysU/edit?usp=sharing"",""สบก!CK68"")"),0)</f>
        <v>0</v>
      </c>
      <c r="N275" s="169">
        <f ca="1">IFERROR(__xludf.DUMMYFUNCTION("IMPORTRANGE(""https://docs.google.com/spreadsheets/d/1Yj_ptqi66GCucihVvJfMjLAmec39IyEx_6qawtMGysU/edit?usp=sharing"",""สบก!CL68"")"),0)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IFERROR(__xludf.DUMMYFUNCTION("IMPORTRANGE(""https://docs.google.com/spreadsheets/d/1Yj_ptqi66GCucihVvJfMjLAmec39IyEx_6qawtMGysU/edit?usp=sharing"",""สบก!CH68"")"),0)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IFERROR(__xludf.DUMMYFUNCTION("IMPORTRANGE(""https://docs.google.com/spreadsheets/d/1Yj_ptqi66GCucihVvJfMjLAmec39IyEx_6qawtMGysU/edit?usp=sharing"",""สบก!CI68"")"),0)</f>
        <v>0</v>
      </c>
      <c r="M279" s="49"/>
      <c r="N279" s="49">
        <f ca="1">IFERROR(__xludf.DUMMYFUNCTION("IMPORTRANGE(""https://docs.google.com/spreadsheets/d/1Yj_ptqi66GCucihVvJfMjLAmec39IyEx_6qawtMGysU/edit?usp=sharing"",""สบก!CM68"")"),0)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89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IFERROR(__xludf.DUMMYFUNCTION("IMPORTRANGE(""https://docs.google.com/spreadsheets/d/1Yj_ptqi66GCucihVvJfMjLAmec39IyEx_6qawtMGysU/edit?usp=sharing"",""สบก!CT68"")"),0)</f>
        <v>0</v>
      </c>
      <c r="N294" s="169">
        <f ca="1">IFERROR(__xludf.DUMMYFUNCTION("IMPORTRANGE(""https://docs.google.com/spreadsheets/d/1Yj_ptqi66GCucihVvJfMjLAmec39IyEx_6qawtMGysU/edit?usp=sharing"",""สบก!CU68"")"),0)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IFERROR(__xludf.DUMMYFUNCTION("IMPORTRANGE(""https://docs.google.com/spreadsheets/d/1Yj_ptqi66GCucihVvJfMjLAmec39IyEx_6qawtMGysU/edit?usp=sharing"",""สบก!CR68"")"),0)</f>
        <v>0</v>
      </c>
      <c r="M298" s="49"/>
      <c r="N298" s="49">
        <f ca="1">IFERROR(__xludf.DUMMYFUNCTION("IMPORTRANGE(""https://docs.google.com/spreadsheets/d/1Yj_ptqi66GCucihVvJfMjLAmec39IyEx_6qawtMGysU/edit?usp=sharing"",""สบก!CV68"")"),0)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4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4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IFERROR(__xludf.DUMMYFUNCTION("IMPORTRANGE(""https://docs.google.com/spreadsheets/d/1Yj_ptqi66GCucihVvJfMjLAmec39IyEx_6qawtMGysU/edit?usp=sharing"",""สบก!DC68"")"),0)</f>
        <v>0</v>
      </c>
      <c r="N314" s="169">
        <f ca="1">IFERROR(__xludf.DUMMYFUNCTION("IMPORTRANGE(""https://docs.google.com/spreadsheets/d/1Yj_ptqi66GCucihVvJfMjLAmec39IyEx_6qawtMGysU/edit?usp=sharing"",""สบก!DD68"")"),0)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IFERROR(__xludf.DUMMYFUNCTION("IMPORTRANGE(""https://docs.google.com/spreadsheets/d/1Yj_ptqi66GCucihVvJfMjLAmec39IyEx_6qawtMGysU/edit?usp=sharing"",""สบก!DA68"")"),0)</f>
        <v>0</v>
      </c>
      <c r="M318" s="49"/>
      <c r="N318" s="49">
        <f ca="1">IFERROR(__xludf.DUMMYFUNCTION("IMPORTRANGE(""https://docs.google.com/spreadsheets/d/1Yj_ptqi66GCucihVvJfMjLAmec39IyEx_6qawtMGysU/edit?usp=sharing"",""สบก!DE68"")"),0)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4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0">
        <f ca="1">IFERROR(__xludf.DUMMYFUNCTION("IMPORTRANGE(""https://docs.google.com/spreadsheets/d/1SX6NBoVAgQJ6U1MVXOaj8PK2l7WJ3RER9xtqwdhxkhw/edit?usp=sharing"",""ประจวบคีรีขันธ์!J228"")"),45)</f>
        <v>45</v>
      </c>
      <c r="K328" s="318">
        <f ca="1">IF(I328&gt;0,J328*100/I328,0)</f>
        <v>33.333333333333336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931960</v>
      </c>
      <c r="M329" s="152">
        <f t="shared" ca="1" si="98"/>
        <v>963530</v>
      </c>
      <c r="N329" s="152">
        <f t="shared" ca="1" si="98"/>
        <v>769692.92</v>
      </c>
      <c r="O329" s="151">
        <f t="shared" ref="O329:O331" ca="1" si="99">IF(L329&gt;0,N329*100/L329,0)</f>
        <v>82.588621829263062</v>
      </c>
      <c r="P329" s="151">
        <f t="shared" ref="P329:P331" ca="1" si="100">IF(M329&gt;0,N329*100/M329,0)</f>
        <v>79.882610816476912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931960</v>
      </c>
      <c r="M331" s="157">
        <f t="shared" ca="1" si="102"/>
        <v>963530</v>
      </c>
      <c r="N331" s="157">
        <f t="shared" ca="1" si="102"/>
        <v>769692.92</v>
      </c>
      <c r="O331" s="156">
        <f t="shared" ca="1" si="99"/>
        <v>82.588621829263062</v>
      </c>
      <c r="P331" s="156">
        <f t="shared" ca="1" si="100"/>
        <v>79.882610816476912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784960</v>
      </c>
      <c r="M333" s="168">
        <f ca="1">IFERROR(__xludf.DUMMYFUNCTION("IMPORTRANGE(""https://docs.google.com/spreadsheets/d/1Yj_ptqi66GCucihVvJfMjLAmec39IyEx_6qawtMGysU/edit?usp=sharing"",""สบก!DL68"")"),816530)</f>
        <v>816530</v>
      </c>
      <c r="N333" s="169">
        <f ca="1">IFERROR(__xludf.DUMMYFUNCTION("IMPORTRANGE(""https://docs.google.com/spreadsheets/d/1Yj_ptqi66GCucihVvJfMjLAmec39IyEx_6qawtMGysU/edit?usp=sharing"",""สบก!DM68"")"),622692.92)</f>
        <v>622692.92000000004</v>
      </c>
      <c r="O333" s="169">
        <f ca="1">IF(L333&gt;0,N333*100/L333,0)</f>
        <v>79.327981043620071</v>
      </c>
      <c r="P333" s="169">
        <f ca="1">IF(M333&gt;0,N333*100/M333,0)</f>
        <v>76.260874676986774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IFERROR(__xludf.DUMMYFUNCTION("IMPORTRANGE(""https://docs.google.com/spreadsheets/d/1Yj_ptqi66GCucihVvJfMjLAmec39IyEx_6qawtMGysU/edit?usp=sharing"",""สบก!DH68"")"),505100)</f>
        <v>505100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IFERROR(__xludf.DUMMYFUNCTION("IMPORTRANGE(""https://docs.google.com/spreadsheets/d/1Yj_ptqi66GCucihVvJfMjLAmec39IyEx_6qawtMGysU/edit?usp=sharing"",""สบก!DI68"")"),279860)</f>
        <v>279860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IFERROR(__xludf.DUMMYFUNCTION("IMPORTRANGE(""https://docs.google.com/spreadsheets/d/1Yj_ptqi66GCucihVvJfMjLAmec39IyEx_6qawtMGysU/edit?usp=sharing"",""สบก!DJ68"")"),147000)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IFERROR(__xludf.DUMMYFUNCTION("IMPORTRANGE(""https://docs.google.com/spreadsheets/d/1Yj_ptqi66GCucihVvJfMjLAmec39IyEx_6qawtMGysU/edit?usp=sharing"",""สบก!DN68"")"),147000)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88">
        <f ca="1">IFERROR(__xludf.DUMMYFUNCTION("IMPORTRANGE(""https://docs.google.com/spreadsheets/d/1SX6NBoVAgQJ6U1MVXOaj8PK2l7WJ3RER9xtqwdhxkhw/edit?usp=sharing"",""ประจวบคีรีขันธ์!J234"")"),81)</f>
        <v>81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88">
        <f ca="1">IFERROR(__xludf.DUMMYFUNCTION("IMPORTRANGE(""https://docs.google.com/spreadsheets/d/1SX6NBoVAgQJ6U1MVXOaj8PK2l7WJ3RER9xtqwdhxkhw/edit?usp=sharing"",""ประจวบคีรีขันธ์!J235"")"),447.32)</f>
        <v>447.32</v>
      </c>
      <c r="K340" s="343">
        <f t="shared" ca="1" si="103"/>
        <v>57.348717948717947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88">
        <f ca="1">IFERROR(__xludf.DUMMYFUNCTION("IMPORTRANGE(""https://docs.google.com/spreadsheets/d/1SX6NBoVAgQJ6U1MVXOaj8PK2l7WJ3RER9xtqwdhxkhw/edit?usp=sharing"",""ประจวบคีรีขันธ์!J236"")"),59)</f>
        <v>59</v>
      </c>
      <c r="K341" s="343">
        <f t="shared" ca="1" si="103"/>
        <v>43.703703703703702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88">
        <f ca="1">IFERROR(__xludf.DUMMYFUNCTION("IMPORTRANGE(""https://docs.google.com/spreadsheets/d/1SX6NBoVAgQJ6U1MVXOaj8PK2l7WJ3RER9xtqwdhxkhw/edit?usp=sharing"",""ประจวบคีรีขันธ์!J237"")"),415.56)</f>
        <v>415.56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88">
        <f ca="1">IFERROR(__xludf.DUMMYFUNCTION("IMPORTRANGE(""https://docs.google.com/spreadsheets/d/1SX6NBoVAgQJ6U1MVXOaj8PK2l7WJ3RER9xtqwdhxkhw/edit?usp=sharing"",""ประจวบคีรีขันธ์!J238"")"),0)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88">
        <f ca="1">IFERROR(__xludf.DUMMYFUNCTION("IMPORTRANGE(""https://docs.google.com/spreadsheets/d/1SX6NBoVAgQJ6U1MVXOaj8PK2l7WJ3RER9xtqwdhxkhw/edit?usp=sharing"",""ประจวบคีรีขันธ์!J239"")"),0)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88">
        <f ca="1">IFERROR(__xludf.DUMMYFUNCTION("IMPORTRANGE(""https://docs.google.com/spreadsheets/d/1SX6NBoVAgQJ6U1MVXOaj8PK2l7WJ3RER9xtqwdhxkhw/edit?usp=sharing"",""ประจวบคีรีขันธ์!J240"")"),45)</f>
        <v>45</v>
      </c>
      <c r="K345" s="343">
        <f t="shared" ca="1" si="103"/>
        <v>33.333333333333336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88">
        <f ca="1">IFERROR(__xludf.DUMMYFUNCTION("IMPORTRANGE(""https://docs.google.com/spreadsheets/d/1SX6NBoVAgQJ6U1MVXOaj8PK2l7WJ3RER9xtqwdhxkhw/edit?usp=sharing"",""ประจวบคีรีขันธ์!J241"")"),552.66)</f>
        <v>552.66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58"/>
      <c r="N347" s="358">
        <f ca="1">IFERROR(__xludf.DUMMYFUNCTION("IMPORTRANGE(""https://docs.google.com/spreadsheets/d/1SX6NBoVAgQJ6U1MVXOaj8PK2l7WJ3RER9xtqwdhxkhw/edit?usp=sharing"",""ประจวบคีรีขันธ์!M242"")"),860869.57)</f>
        <v>860869.57</v>
      </c>
      <c r="O347" s="358">
        <f ca="1">+IF(L347&gt;0,N347*100/L347,0)</f>
        <v>82.004838161174874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1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3"/>
      <c r="N349" s="373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1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4"/>
      <c r="N351" s="164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5"/>
      <c r="N352" s="164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69"/>
      <c r="N353" s="169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69"/>
      <c r="N354" s="168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88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4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89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89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4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88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88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89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4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1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IFERROR(__xludf.DUMMYFUNCTION("IMPORTRANGE(""https://docs.google.com/spreadsheets/d/1SX6NBoVAgQJ6U1MVXOaj8PK2l7WJ3RER9xtqwdhxkhw/edit?usp=sharing"",""ประจวบคีรีขันธ์!M275"")"),458780)</f>
        <v>458780</v>
      </c>
      <c r="O380" s="373">
        <f ca="1">+IF(L380&gt;0,N380*100/L380,0)</f>
        <v>99.704437779806142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1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4"/>
      <c r="N382" s="164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IFERROR(__xludf.DUMMYFUNCTION("IMPORTRANGE(""https://docs.google.com/spreadsheets/d/1SX6NBoVAgQJ6U1MVXOaj8PK2l7WJ3RER9xtqwdhxkhw/edit?usp=sharing"",""ประจวบคีรีขันธ์!M278"")"),458780)</f>
        <v>458780</v>
      </c>
      <c r="O383" s="165">
        <f t="shared" ca="1" si="109"/>
        <v>99.704437779806142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69"/>
      <c r="N384" s="169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IFERROR(__xludf.DUMMYFUNCTION("IMPORTRANGE(""https://docs.google.com/spreadsheets/d/1SX6NBoVAgQJ6U1MVXOaj8PK2l7WJ3RER9xtqwdhxkhw/edit?usp=sharing"",""ประจวบคีรีขันธ์!M280"")"),458780)</f>
        <v>458780</v>
      </c>
      <c r="O385" s="169">
        <f t="shared" ca="1" si="109"/>
        <v>99.704437779806142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IFERROR(__xludf.DUMMYFUNCTION("IMPORTRANGE(""https://docs.google.com/spreadsheets/d/1SX6NBoVAgQJ6U1MVXOaj8PK2l7WJ3RER9xtqwdhxkhw/edit?usp=sharing"",""ประจวบคีรีขันธ์!M284"")"),35280)</f>
        <v>35280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8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8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8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1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3"/>
      <c r="N401" s="373">
        <f ca="1">IFERROR(__xludf.DUMMYFUNCTION("IMPORTRANGE(""https://docs.google.com/spreadsheets/d/1SX6NBoVAgQJ6U1MVXOaj8PK2l7WJ3RER9xtqwdhxkhw/edit?usp=sharing"",""ประจวบคีรีขันธ์!M296"")"),95560)</f>
        <v>95560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1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4"/>
      <c r="N403" s="169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5"/>
      <c r="N404" s="169">
        <f ca="1">IFERROR(__xludf.DUMMYFUNCTION("IMPORTRANGE(""https://docs.google.com/spreadsheets/d/1SX6NBoVAgQJ6U1MVXOaj8PK2l7WJ3RER9xtqwdhxkhw/edit?usp=sharing"",""ประจวบคีรีขันธ์!M299"")"),95560)</f>
        <v>95560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69"/>
      <c r="N405" s="169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69"/>
      <c r="N406" s="169">
        <f ca="1">IFERROR(__xludf.DUMMYFUNCTION("IMPORTRANGE(""https://docs.google.com/spreadsheets/d/1SX6NBoVAgQJ6U1MVXOaj8PK2l7WJ3RER9xtqwdhxkhw/edit?usp=sharing"",""ประจวบคีรีขันธ์!M301"")"),95560)</f>
        <v>95560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IFERROR(__xludf.DUMMYFUNCTION("IMPORTRANGE(""https://docs.google.com/spreadsheets/d/1SX6NBoVAgQJ6U1MVXOaj8PK2l7WJ3RER9xtqwdhxkhw/edit?usp=sharing"",""ประจวบคีรีขันธ์!M305"")"),22720)</f>
        <v>22720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1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2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3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2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3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4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4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4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2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3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4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4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2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4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0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2"/>
      <c r="N435" s="412">
        <f ca="1">IFERROR(__xludf.DUMMYFUNCTION("IMPORTRANGE(""https://docs.google.com/spreadsheets/d/1SX6NBoVAgQJ6U1MVXOaj8PK2l7WJ3RER9xtqwdhxkhw/edit?usp=sharing"",""ประจวบคีรีขันธ์!M330"")"),76000)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4"/>
      <c r="N436" s="169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5"/>
      <c r="N437" s="169">
        <f ca="1">IFERROR(__xludf.DUMMYFUNCTION("IMPORTRANGE(""https://docs.google.com/spreadsheets/d/1SX6NBoVAgQJ6U1MVXOaj8PK2l7WJ3RER9xtqwdhxkhw/edit?usp=sharing"",""ประจวบคีรีขันธ์!M332"")"),76000)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69"/>
      <c r="N438" s="169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69"/>
      <c r="N439" s="169">
        <f ca="1">IFERROR(__xludf.DUMMYFUNCTION("IMPORTRANGE(""https://docs.google.com/spreadsheets/d/1SX6NBoVAgQJ6U1MVXOaj8PK2l7WJ3RER9xtqwdhxkhw/edit?usp=sharing"",""ประจวบคีรีขันธ์!M334"")"),76000)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IFERROR(__xludf.DUMMYFUNCTION("IMPORTRANGE(""https://docs.google.com/spreadsheets/d/1SX6NBoVAgQJ6U1MVXOaj8PK2l7WJ3RER9xtqwdhxkhw/edit?usp=sharing"",""ประจวบคีรีขันธ์!M335"")"),25200)</f>
        <v>25200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IFERROR(__xludf.DUMMYFUNCTION("IMPORTRANGE(""https://docs.google.com/spreadsheets/d/1SX6NBoVAgQJ6U1MVXOaj8PK2l7WJ3RER9xtqwdhxkhw/edit?usp=sharing"",""ประจวบคีรีขันธ์!M338"")"),50800)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1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89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88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88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1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3"/>
      <c r="N455" s="373">
        <f ca="1">IFERROR(__xludf.DUMMYFUNCTION("IMPORTRANGE(""https://docs.google.com/spreadsheets/d/1SX6NBoVAgQJ6U1MVXOaj8PK2l7WJ3RER9xtqwdhxkhw/edit?usp=sharing"",""ประจวบคีรีขันธ์!M350"")"),100225)</f>
        <v>100225</v>
      </c>
      <c r="O455" s="373">
        <f t="shared" ref="O455:O459" ca="1" si="116">+IF(L455&gt;0,N455*100/L455,0)</f>
        <v>39.262503476724554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4"/>
      <c r="N456" s="169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5"/>
      <c r="N457" s="169">
        <f ca="1">IFERROR(__xludf.DUMMYFUNCTION("IMPORTRANGE(""https://docs.google.com/spreadsheets/d/1SX6NBoVAgQJ6U1MVXOaj8PK2l7WJ3RER9xtqwdhxkhw/edit?usp=sharing"",""ประจวบคีรีขันธ์!M352"")"),100225)</f>
        <v>100225</v>
      </c>
      <c r="O457" s="169">
        <f t="shared" ca="1" si="116"/>
        <v>39.262503476724554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69"/>
      <c r="N458" s="169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69"/>
      <c r="N459" s="169">
        <f ca="1">IFERROR(__xludf.DUMMYFUNCTION("IMPORTRANGE(""https://docs.google.com/spreadsheets/d/1SX6NBoVAgQJ6U1MVXOaj8PK2l7WJ3RER9xtqwdhxkhw/edit?usp=sharing"",""ประจวบคีรีขันธ์!M354"")"),100225)</f>
        <v>100225</v>
      </c>
      <c r="O459" s="169">
        <f t="shared" ca="1" si="116"/>
        <v>39.262503476724554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IFERROR(__xludf.DUMMYFUNCTION("IMPORTRANGE(""https://docs.google.com/spreadsheets/d/1SX6NBoVAgQJ6U1MVXOaj8PK2l7WJ3RER9xtqwdhxkhw/edit?usp=sharing"",""ประจวบคีรีขันธ์!M358"")"),100225)</f>
        <v>100225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8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0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0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89">
        <f ca="1">IFERROR(__xludf.DUMMYFUNCTION("IMPORTRANGE(""https://docs.google.com/spreadsheets/d/1SX6NBoVAgQJ6U1MVXOaj8PK2l7WJ3RER9xtqwdhxkhw/edit?usp=sharing"",""ประจวบคีรีขันธ์!J362"")"),14960)</f>
        <v>14960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89">
        <f ca="1">IFERROR(__xludf.DUMMYFUNCTION("IMPORTRANGE(""https://docs.google.com/spreadsheets/d/1SX6NBoVAgQJ6U1MVXOaj8PK2l7WJ3RER9xtqwdhxkhw/edit?usp=sharing"",""ประจวบคีรีขันธ์!J363"")"),1509)</f>
        <v>1509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89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89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89">
        <f ca="1">IFERROR(__xludf.DUMMYFUNCTION("IMPORTRANGE(""https://docs.google.com/spreadsheets/d/1SX6NBoVAgQJ6U1MVXOaj8PK2l7WJ3RER9xtqwdhxkhw/edit?usp=sharing"",""ประจวบคีรีขันธ์!J366"")"),334)</f>
        <v>334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89">
        <f ca="1">IFERROR(__xludf.DUMMYFUNCTION("IMPORTRANGE(""https://docs.google.com/spreadsheets/d/1SX6NBoVAgQJ6U1MVXOaj8PK2l7WJ3RER9xtqwdhxkhw/edit?usp=sharing"",""ประจวบคีรีขันธ์!J367"")"),45)</f>
        <v>45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0">
        <f ca="1">IFERROR(__xludf.DUMMYFUNCTION("IMPORTRANGE(""https://docs.google.com/spreadsheets/d/1SX6NBoVAgQJ6U1MVXOaj8PK2l7WJ3RER9xtqwdhxkhw/edit?usp=sharing"",""ประจวบคีรีขันธ์!J368"")"),20755)</f>
        <v>20755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0">
        <f ca="1">IFERROR(__xludf.DUMMYFUNCTION("IMPORTRANGE(""https://docs.google.com/spreadsheets/d/1SX6NBoVAgQJ6U1MVXOaj8PK2l7WJ3RER9xtqwdhxkhw/edit?usp=sharing"",""ประจวบคีรีขันธ์!J369"")"),2020)</f>
        <v>2020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89">
        <f ca="1">IFERROR(__xludf.DUMMYFUNCTION("IMPORTRANGE(""https://docs.google.com/spreadsheets/d/1SX6NBoVAgQJ6U1MVXOaj8PK2l7WJ3RER9xtqwdhxkhw/edit?usp=sharing"",""ประจวบคีรีขันธ์!J370"")"),14960)</f>
        <v>14960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89">
        <f ca="1">IFERROR(__xludf.DUMMYFUNCTION("IMPORTRANGE(""https://docs.google.com/spreadsheets/d/1SX6NBoVAgQJ6U1MVXOaj8PK2l7WJ3RER9xtqwdhxkhw/edit?usp=sharing"",""ประจวบคีรีขันธ์!J371"")"),1509)</f>
        <v>1509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89">
        <f ca="1">IFERROR(__xludf.DUMMYFUNCTION("IMPORTRANGE(""https://docs.google.com/spreadsheets/d/1SX6NBoVAgQJ6U1MVXOaj8PK2l7WJ3RER9xtqwdhxkhw/edit?usp=sharing"",""ประจวบคีรีขันธ์!J372"")"),5461)</f>
        <v>5461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89">
        <f ca="1">IFERROR(__xludf.DUMMYFUNCTION("IMPORTRANGE(""https://docs.google.com/spreadsheets/d/1SX6NBoVAgQJ6U1MVXOaj8PK2l7WJ3RER9xtqwdhxkhw/edit?usp=sharing"",""ประจวบคีรีขันธ์!J373"")"),466)</f>
        <v>466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89">
        <f ca="1">IFERROR(__xludf.DUMMYFUNCTION("IMPORTRANGE(""https://docs.google.com/spreadsheets/d/1SX6NBoVAgQJ6U1MVXOaj8PK2l7WJ3RER9xtqwdhxkhw/edit?usp=sharing"",""ประจวบคีรีขันธ์!J374"")"),334)</f>
        <v>334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89">
        <f ca="1">IFERROR(__xludf.DUMMYFUNCTION("IMPORTRANGE(""https://docs.google.com/spreadsheets/d/1SX6NBoVAgQJ6U1MVXOaj8PK2l7WJ3RER9xtqwdhxkhw/edit?usp=sharing"",""ประจวบคีรีขันธ์!J375"")"),45)</f>
        <v>45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89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89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89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89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89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89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89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89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89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2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2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89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8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89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8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89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8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2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2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8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8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8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8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8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8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8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5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5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88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88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88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88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88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88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5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5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8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8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8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8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8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6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0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IFERROR(__xludf.DUMMYFUNCTION("IMPORTRANGE(""https://docs.google.com/spreadsheets/d/1SX6NBoVAgQJ6U1MVXOaj8PK2l7WJ3RER9xtqwdhxkhw/edit?usp=sharing"",""ประจวบคีรีขันธ์!M428"")"),32770)</f>
        <v>32770</v>
      </c>
      <c r="O533" s="412">
        <f t="shared" ref="O533:O537" ca="1" si="118">+IF(L533&gt;0,N533*100/L533,0)</f>
        <v>95.4280722189866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4"/>
      <c r="N534" s="169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IFERROR(__xludf.DUMMYFUNCTION("IMPORTRANGE(""https://docs.google.com/spreadsheets/d/1SX6NBoVAgQJ6U1MVXOaj8PK2l7WJ3RER9xtqwdhxkhw/edit?usp=sharing"",""ประจวบคีรีขันธ์!M430"")"),32770)</f>
        <v>32770</v>
      </c>
      <c r="O535" s="169">
        <f t="shared" ca="1" si="118"/>
        <v>95.4280722189866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69"/>
      <c r="N536" s="169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IFERROR(__xludf.DUMMYFUNCTION("IMPORTRANGE(""https://docs.google.com/spreadsheets/d/1SX6NBoVAgQJ6U1MVXOaj8PK2l7WJ3RER9xtqwdhxkhw/edit?usp=sharing"",""ประจวบคีรีขันธ์!M432"")"),32770)</f>
        <v>32770</v>
      </c>
      <c r="O537" s="169">
        <f t="shared" ca="1" si="118"/>
        <v>95.4280722189866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IFERROR(__xludf.DUMMYFUNCTION("IMPORTRANGE(""https://docs.google.com/spreadsheets/d/1SX6NBoVAgQJ6U1MVXOaj8PK2l7WJ3RER9xtqwdhxkhw/edit?usp=sharing"",""ประจวบคีรีขันธ์!M436"")"),14030)</f>
        <v>14030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89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0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2"/>
      <c r="N551" s="412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4"/>
      <c r="N552" s="169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5"/>
      <c r="N553" s="169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69"/>
      <c r="N554" s="169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69"/>
      <c r="N555" s="169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2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4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1">
        <f ca="1">IFERROR(__xludf.DUMMYFUNCTION("IMPORTRANGE(""https://docs.google.com/spreadsheets/d/1SX6NBoVAgQJ6U1MVXOaj8PK2l7WJ3RER9xtqwdhxkhw/edit?usp=sharing"",""ประจวบคีรีขันธ์!J459"")"),1536)</f>
        <v>1536</v>
      </c>
      <c r="K564" s="372">
        <f ca="1">IF(I564&gt;0,J564*100/I564,0)</f>
        <v>219.42857142857142</v>
      </c>
      <c r="L564" s="373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3"/>
      <c r="N564" s="373">
        <f ca="1">IFERROR(__xludf.DUMMYFUNCTION("IMPORTRANGE(""https://docs.google.com/spreadsheets/d/1SX6NBoVAgQJ6U1MVXOaj8PK2l7WJ3RER9xtqwdhxkhw/edit?usp=sharing"",""ประจวบคีรีขันธ์!M459"")"),94604.57)</f>
        <v>94604.57</v>
      </c>
      <c r="O564" s="373">
        <f t="shared" ref="O564:O568" ca="1" si="122">+IF(L564&gt;0,N564*100/L564,0)</f>
        <v>77.851028637261351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4"/>
      <c r="N565" s="169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5"/>
      <c r="N566" s="169">
        <f ca="1">IFERROR(__xludf.DUMMYFUNCTION("IMPORTRANGE(""https://docs.google.com/spreadsheets/d/1SX6NBoVAgQJ6U1MVXOaj8PK2l7WJ3RER9xtqwdhxkhw/edit?usp=sharing"",""ประจวบคีรีขันธ์!M461"")"),94604.57)</f>
        <v>94604.57</v>
      </c>
      <c r="O566" s="169">
        <f t="shared" ca="1" si="122"/>
        <v>77.851028637261351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69"/>
      <c r="N567" s="169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69"/>
      <c r="N568" s="169">
        <f ca="1">IFERROR(__xludf.DUMMYFUNCTION("IMPORTRANGE(""https://docs.google.com/spreadsheets/d/1SX6NBoVAgQJ6U1MVXOaj8PK2l7WJ3RER9xtqwdhxkhw/edit?usp=sharing"",""ประจวบคีรีขันธ์!M463"")"),94604.57)</f>
        <v>94604.57</v>
      </c>
      <c r="O568" s="169">
        <f t="shared" ca="1" si="122"/>
        <v>77.851028637261351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IFERROR(__xludf.DUMMYFUNCTION("IMPORTRANGE(""https://docs.google.com/spreadsheets/d/1SX6NBoVAgQJ6U1MVXOaj8PK2l7WJ3RER9xtqwdhxkhw/edit?usp=sharing"",""ประจวบคีรีขันธ์!M466"")"),81234.57)</f>
        <v>81234.570000000007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IFERROR(__xludf.DUMMYFUNCTION("IMPORTRANGE(""https://docs.google.com/spreadsheets/d/1SX6NBoVAgQJ6U1MVXOaj8PK2l7WJ3RER9xtqwdhxkhw/edit?usp=sharing"",""ประจวบคีรีขันธ์!M467"")"),13370)</f>
        <v>13370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0">
        <f ca="1">IFERROR(__xludf.DUMMYFUNCTION("IMPORTRANGE(""https://docs.google.com/spreadsheets/d/1SX6NBoVAgQJ6U1MVXOaj8PK2l7WJ3RER9xtqwdhxkhw/edit?usp=sharing"",""ประจวบคีรีขันธ์!J468"")"),1536)</f>
        <v>1536</v>
      </c>
      <c r="K573" s="202">
        <f ca="1">IF(I573&gt;0,J573*100/I573,0)</f>
        <v>219.42857142857142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8">
        <f ca="1">IFERROR(__xludf.DUMMYFUNCTION("IMPORTRANGE(""https://docs.google.com/spreadsheets/d/1SX6NBoVAgQJ6U1MVXOaj8PK2l7WJ3RER9xtqwdhxkhw/edit?usp=sharing"",""ประจวบคีรีขันธ์!J470"")"),6)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8">
        <f ca="1">IFERROR(__xludf.DUMMYFUNCTION("IMPORTRANGE(""https://docs.google.com/spreadsheets/d/1SX6NBoVAgQJ6U1MVXOaj8PK2l7WJ3RER9xtqwdhxkhw/edit?usp=sharing"",""ประจวบคีรีขันธ์!J471"")"),214)</f>
        <v>214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89">
        <f ca="1">IFERROR(__xludf.DUMMYFUNCTION("IMPORTRANGE(""https://docs.google.com/spreadsheets/d/1SX6NBoVAgQJ6U1MVXOaj8PK2l7WJ3RER9xtqwdhxkhw/edit?usp=sharing"",""ประจวบคีรีขันธ์!J472"")"),1322)</f>
        <v>1322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8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8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1">
        <f ca="1">IFERROR(__xludf.DUMMYFUNCTION("IMPORTRANGE(""https://docs.google.com/spreadsheets/d/1SX6NBoVAgQJ6U1MVXOaj8PK2l7WJ3RER9xtqwdhxkhw/edit?usp=sharing"",""ประจวบคีรีขันธ์!J475"")"),58)</f>
        <v>58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3"/>
      <c r="N580" s="373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4"/>
      <c r="N581" s="169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5"/>
      <c r="N582" s="169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69"/>
      <c r="N583" s="169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69"/>
      <c r="N584" s="169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88">
        <f ca="1">IFERROR(__xludf.DUMMYFUNCTION("IMPORTRANGE(""https://docs.google.com/spreadsheets/d/1SX6NBoVAgQJ6U1MVXOaj8PK2l7WJ3RER9xtqwdhxkhw/edit?usp=sharing"",""ประจวบคีรีขันธ์!J484"")"),56)</f>
        <v>56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88">
        <f ca="1">IFERROR(__xludf.DUMMYFUNCTION("IMPORTRANGE(""https://docs.google.com/spreadsheets/d/1SX6NBoVAgQJ6U1MVXOaj8PK2l7WJ3RER9xtqwdhxkhw/edit?usp=sharing"",""ประจวบคีรีขันธ์!J485"")"),8.4)</f>
        <v>8.4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88">
        <f ca="1">IFERROR(__xludf.DUMMYFUNCTION("IMPORTRANGE(""https://docs.google.com/spreadsheets/d/1SX6NBoVAgQJ6U1MVXOaj8PK2l7WJ3RER9xtqwdhxkhw/edit?usp=sharing"",""ประจวบคีรีขันธ์!J486"")"),61)</f>
        <v>61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88">
        <f ca="1">IFERROR(__xludf.DUMMYFUNCTION("IMPORTRANGE(""https://docs.google.com/spreadsheets/d/1SX6NBoVAgQJ6U1MVXOaj8PK2l7WJ3RER9xtqwdhxkhw/edit?usp=sharing"",""ประจวบคีรีขันธ์!J487"")"),9.44)</f>
        <v>9.44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88">
        <f ca="1">IFERROR(__xludf.DUMMYFUNCTION("IMPORTRANGE(""https://docs.google.com/spreadsheets/d/1SX6NBoVAgQJ6U1MVXOaj8PK2l7WJ3RER9xtqwdhxkhw/edit?usp=sharing"",""ประจวบคีรีขันธ์!J488"")"),55)</f>
        <v>55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88">
        <f ca="1">IFERROR(__xludf.DUMMYFUNCTION("IMPORTRANGE(""https://docs.google.com/spreadsheets/d/1SX6NBoVAgQJ6U1MVXOaj8PK2l7WJ3RER9xtqwdhxkhw/edit?usp=sharing"",""ประจวบคีรีขันธ์!J489"")"),7.73)</f>
        <v>7.73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88">
        <f ca="1">IFERROR(__xludf.DUMMYFUNCTION("IMPORTRANGE(""https://docs.google.com/spreadsheets/d/1SX6NBoVAgQJ6U1MVXOaj8PK2l7WJ3RER9xtqwdhxkhw/edit?usp=sharing"",""ประจวบคีรีขันธ์!J490"")"),58)</f>
        <v>58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2">
        <f ca="1">IFERROR(__xludf.DUMMYFUNCTION("IMPORTRANGE(""https://docs.google.com/spreadsheets/d/1SX6NBoVAgQJ6U1MVXOaj8PK2l7WJ3RER9xtqwdhxkhw/edit?usp=sharing"",""ประจวบคีรีขันธ์!J491"")"),8.21)</f>
        <v>8.2100000000000009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8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2"/>
      <c r="N597" s="412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2">
        <f t="shared" ref="O597:O601" ca="1" si="126">+IF(L597&gt;0,N597*100/L597,0)</f>
        <v>42.158273381294961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4"/>
      <c r="N598" s="169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5"/>
      <c r="N599" s="169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69">
        <f t="shared" ca="1" si="126"/>
        <v>42.158273381294961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69"/>
      <c r="N600" s="169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69"/>
      <c r="N601" s="169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69">
        <f t="shared" ca="1" si="126"/>
        <v>42.158273381294961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2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8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3">
        <f t="shared" ca="1" si="127"/>
        <v>30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8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3">
        <f t="shared" ca="1" si="127"/>
        <v>30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8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8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8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88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89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89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3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3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89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89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88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89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89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2">
        <f ca="1">IFERROR(__xludf.DUMMYFUNCTION("IMPORTRANGE(""https://docs.google.com/spreadsheets/d/1SX6NBoVAgQJ6U1MVXOaj8PK2l7WJ3RER9xtqwdhxkhw/edit?usp=sharing"",""ประจวบคีรีขันธ์!J523"")"),1935248.54)</f>
        <v>1935248.54</v>
      </c>
      <c r="K628" s="343">
        <f t="shared" ref="K628:K635" ca="1" si="129">IF(I628&gt;0,J628*100/I628,0)</f>
        <v>100.49098574796587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2">
        <f ca="1">IFERROR(__xludf.DUMMYFUNCTION("IMPORTRANGE(""https://docs.google.com/spreadsheets/d/1SX6NBoVAgQJ6U1MVXOaj8PK2l7WJ3RER9xtqwdhxkhw/edit?usp=sharing"",""ประจวบคีรีขันธ์!J524"")"),145)</f>
        <v>145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2">
        <f ca="1">IFERROR(__xludf.DUMMYFUNCTION("IMPORTRANGE(""https://docs.google.com/spreadsheets/d/1SX6NBoVAgQJ6U1MVXOaj8PK2l7WJ3RER9xtqwdhxkhw/edit?usp=sharing"",""ประจวบคีรีขันธ์!J525"")"),106272.61)</f>
        <v>106272.61</v>
      </c>
      <c r="K630" s="343">
        <f t="shared" ca="1" si="129"/>
        <v>33.582159213761329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2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3">
        <f t="shared" ca="1" si="129"/>
        <v>95.454545454545453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2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2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2">
        <f ca="1">IFERROR(__xludf.DUMMYFUNCTION("IMPORTRANGE(""https://docs.google.com/spreadsheets/d/1SX6NBoVAgQJ6U1MVXOaj8PK2l7WJ3RER9xtqwdhxkhw/edit?usp=sharing"",""ประจวบคีรีขันธ์!J529"")"),2000000)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5">
        <f ca="1">IFERROR(__xludf.DUMMYFUNCTION("IMPORTRANGE(""https://docs.google.com/spreadsheets/d/1SX6NBoVAgQJ6U1MVXOaj8PK2l7WJ3RER9xtqwdhxkhw/edit?usp=sharing"",""ประจวบคีรีขันธ์!J530"")"),48)</f>
        <v>48</v>
      </c>
      <c r="K635" s="487">
        <f t="shared" ca="1" si="129"/>
        <v>106.66666666666667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7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2"/>
      <c r="N648" s="539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7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2"/>
      <c r="N649" s="539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7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2"/>
      <c r="N650" s="539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2"/>
      <c r="N651" s="539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8"/>
      <c r="L661" s="523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2"/>
      <c r="N661" s="539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7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7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2"/>
      <c r="N665" s="539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7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2"/>
      <c r="N668" s="539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2"/>
      <c r="N671" s="539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3263397</v>
      </c>
      <c r="M8" s="23">
        <f t="shared" ca="1" si="0"/>
        <v>2411401</v>
      </c>
      <c r="N8" s="23">
        <f t="shared" ca="1" si="0"/>
        <v>2279025.88</v>
      </c>
      <c r="O8" s="22">
        <f t="shared" ref="O8:O16" ca="1" si="1">IF(L8&gt;0,N8*100/L8,0)</f>
        <v>69.835998500948548</v>
      </c>
      <c r="P8" s="22">
        <f t="shared" ref="P8:P16" ca="1" si="2">IF(M8&gt;0,N8*100/M8,0)</f>
        <v>94.510447660924086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3263397</v>
      </c>
      <c r="M10" s="30">
        <f t="shared" ca="1" si="4"/>
        <v>2411401</v>
      </c>
      <c r="N10" s="30">
        <f t="shared" ca="1" si="4"/>
        <v>2279025.88</v>
      </c>
      <c r="O10" s="29">
        <f t="shared" ca="1" si="1"/>
        <v>69.835998500948548</v>
      </c>
      <c r="P10" s="29">
        <f t="shared" ca="1" si="2"/>
        <v>94.510447660924086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3170997</v>
      </c>
      <c r="M12" s="38">
        <f t="shared" ca="1" si="6"/>
        <v>2319001</v>
      </c>
      <c r="N12" s="38">
        <f t="shared" ca="1" si="6"/>
        <v>2186625.88</v>
      </c>
      <c r="O12" s="38">
        <f t="shared" ca="1" si="1"/>
        <v>68.95704663233677</v>
      </c>
      <c r="P12" s="38">
        <f t="shared" ca="1" si="2"/>
        <v>94.291717856094067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1669000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1501997</v>
      </c>
      <c r="M14" s="38">
        <f t="shared" si="8"/>
        <v>0</v>
      </c>
      <c r="N14" s="38">
        <f t="shared" ca="1" si="8"/>
        <v>530696</v>
      </c>
      <c r="O14" s="38">
        <f t="shared" ca="1" si="1"/>
        <v>35.332693740400281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2401171</v>
      </c>
      <c r="M18" s="23">
        <f t="shared" ca="1" si="11"/>
        <v>2411401</v>
      </c>
      <c r="N18" s="23">
        <f t="shared" ca="1" si="11"/>
        <v>1748329.88</v>
      </c>
      <c r="O18" s="22">
        <f t="shared" ref="O18:O20" ca="1" si="12">IF(L18&gt;0,N18*100/L18,0)</f>
        <v>72.811552363409348</v>
      </c>
      <c r="P18" s="22">
        <f t="shared" ref="P18:P26" ca="1" si="13">IF(M18&gt;0,N18*100/M18,0)</f>
        <v>72.502660486580211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2401171</v>
      </c>
      <c r="M20" s="30">
        <f t="shared" ca="1" si="15"/>
        <v>2411401</v>
      </c>
      <c r="N20" s="30">
        <f t="shared" ca="1" si="15"/>
        <v>1748329.88</v>
      </c>
      <c r="O20" s="29">
        <f t="shared" ca="1" si="12"/>
        <v>72.811552363409348</v>
      </c>
      <c r="P20" s="29">
        <f t="shared" ca="1" si="13"/>
        <v>72.502660486580211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2308771</v>
      </c>
      <c r="M22" s="41">
        <f t="shared" ca="1" si="18"/>
        <v>2319001</v>
      </c>
      <c r="N22" s="38">
        <f t="shared" ca="1" si="18"/>
        <v>1655929.88</v>
      </c>
      <c r="O22" s="38">
        <f t="shared" ca="1" si="17"/>
        <v>71.723435542113094</v>
      </c>
      <c r="P22" s="38">
        <f t="shared" ca="1" si="13"/>
        <v>71.407036046987471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1669000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639771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92400</v>
      </c>
      <c r="M26" s="49">
        <f t="shared" ca="1" si="22"/>
        <v>92400</v>
      </c>
      <c r="N26" s="49">
        <f t="shared" ca="1" si="22"/>
        <v>92400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862226</v>
      </c>
      <c r="M28" s="23">
        <f t="shared" si="23"/>
        <v>0</v>
      </c>
      <c r="N28" s="23">
        <f t="shared" ca="1" si="23"/>
        <v>530696</v>
      </c>
      <c r="O28" s="22">
        <f t="shared" ref="O28:O30" ca="1" si="24">IF(L28&gt;0,N28*100/L28,0)</f>
        <v>61.549524138682898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862226</v>
      </c>
      <c r="M30" s="30">
        <f t="shared" si="27"/>
        <v>0</v>
      </c>
      <c r="N30" s="30">
        <f t="shared" ca="1" si="27"/>
        <v>530696</v>
      </c>
      <c r="O30" s="29">
        <f t="shared" ca="1" si="24"/>
        <v>61.549524138682898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862226</v>
      </c>
      <c r="M32" s="38">
        <f t="shared" si="30"/>
        <v>0</v>
      </c>
      <c r="N32" s="38">
        <f t="shared" ca="1" si="30"/>
        <v>530696</v>
      </c>
      <c r="O32" s="38">
        <f t="shared" ca="1" si="29"/>
        <v>61.549524138682898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862226</v>
      </c>
      <c r="M34" s="38">
        <f t="shared" si="32"/>
        <v>0</v>
      </c>
      <c r="N34" s="38">
        <f t="shared" ca="1" si="32"/>
        <v>530696</v>
      </c>
      <c r="O34" s="38">
        <f t="shared" ca="1" si="29"/>
        <v>61.549524138682898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2401171</v>
      </c>
      <c r="M37" s="54">
        <f t="shared" ca="1" si="33"/>
        <v>2411401</v>
      </c>
      <c r="N37" s="54">
        <f t="shared" ca="1" si="33"/>
        <v>1748329.88</v>
      </c>
      <c r="O37" s="55">
        <f t="shared" ca="1" si="29"/>
        <v>72.811552363409348</v>
      </c>
      <c r="P37" s="55">
        <f t="shared" ca="1" si="25"/>
        <v>72.502660486580211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335800</v>
      </c>
      <c r="N41" s="78">
        <f t="shared" ca="1" si="34"/>
        <v>240704.18</v>
      </c>
      <c r="O41" s="77">
        <f t="shared" ref="O41:O43" ca="1" si="35">IF(L41&gt;0,N41*100/L41,0)</f>
        <v>72.764262394195882</v>
      </c>
      <c r="P41" s="77">
        <f t="shared" ref="P41:P43" ca="1" si="36">IF(M41&gt;0,N41*100/M41,0)</f>
        <v>71.680815961882075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335800</v>
      </c>
      <c r="N43" s="78">
        <f t="shared" ca="1" si="38"/>
        <v>240704.18</v>
      </c>
      <c r="O43" s="77">
        <f t="shared" ca="1" si="35"/>
        <v>72.764262394195882</v>
      </c>
      <c r="P43" s="77">
        <f t="shared" ca="1" si="36"/>
        <v>71.680815961882075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IFERROR(__xludf.DUMMYFUNCTION("IMPORTRANGE(""https://docs.google.com/spreadsheets/d/1Yj_ptqi66GCucihVvJfMjLAmec39IyEx_6qawtMGysU/edit?usp=sharing"",""สบก!Q69"")"),335800)</f>
        <v>335800</v>
      </c>
      <c r="N45" s="49">
        <f ca="1">IFERROR(__xludf.DUMMYFUNCTION("IMPORTRANGE(""https://docs.google.com/spreadsheets/d/1Yj_ptqi66GCucihVvJfMjLAmec39IyEx_6qawtMGysU/edit?usp=sharing"",""สบก!R69"")"),240704.18)</f>
        <v>240704.18</v>
      </c>
      <c r="O45" s="38">
        <f ca="1">IF(L45&gt;0,N45*100/L45,0)</f>
        <v>72.764262394195882</v>
      </c>
      <c r="P45" s="38">
        <f ca="1">IF(M45&gt;0,N45*100/M45,0)</f>
        <v>71.680815961882075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IFERROR(__xludf.DUMMYFUNCTION("IMPORTRANGE(""https://docs.google.com/spreadsheets/d/1Yj_ptqi66GCucihVvJfMjLAmec39IyEx_6qawtMGysU/edit?usp=sharing"",""สบก!M69"")"),330800)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IFERROR(__xludf.DUMMYFUNCTION("IMPORTRANGE(""https://docs.google.com/spreadsheets/d/1Yj_ptqi66GCucihVvJfMjLAmec39IyEx_6qawtMGysU/edit?usp=sharing"",""สบก!O69"")"),0)</f>
        <v>0</v>
      </c>
      <c r="M49" s="49"/>
      <c r="N49" s="49">
        <f ca="1">IFERROR(__xludf.DUMMYFUNCTION("IMPORTRANGE(""https://docs.google.com/spreadsheets/d/1Yj_ptqi66GCucihVvJfMjLAmec39IyEx_6qawtMGysU/edit?usp=sharing"",""สบก!S69"")"),0)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344730</v>
      </c>
      <c r="N53" s="121">
        <f t="shared" ca="1" si="39"/>
        <v>270763</v>
      </c>
      <c r="O53" s="120">
        <f t="shared" ref="O53:O55" ca="1" si="40">IF(L53&gt;0,N53*100/L53,0)</f>
        <v>60.169555555555554</v>
      </c>
      <c r="P53" s="120">
        <f t="shared" ref="P53:P55" ca="1" si="41">IF(M53&gt;0,N53*100/M53,0)</f>
        <v>78.543497809880193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344730</v>
      </c>
      <c r="N55" s="121">
        <f t="shared" ca="1" si="43"/>
        <v>270763</v>
      </c>
      <c r="O55" s="120">
        <f t="shared" ca="1" si="40"/>
        <v>60.169555555555554</v>
      </c>
      <c r="P55" s="120">
        <f t="shared" ca="1" si="41"/>
        <v>78.543497809880193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IFERROR(__xludf.DUMMYFUNCTION("IMPORTRANGE(""https://docs.google.com/spreadsheets/d/1Yj_ptqi66GCucihVvJfMjLAmec39IyEx_6qawtMGysU/edit?usp=sharing"",""สบก!Z69"")"),344730)</f>
        <v>344730</v>
      </c>
      <c r="N57" s="49">
        <f ca="1">IFERROR(__xludf.DUMMYFUNCTION("IMPORTRANGE(""https://docs.google.com/spreadsheets/d/1Yj_ptqi66GCucihVvJfMjLAmec39IyEx_6qawtMGysU/edit?usp=sharing"",""สบก!AA69"")"),270763)</f>
        <v>270763</v>
      </c>
      <c r="O57" s="38">
        <f ca="1">IF(L57&gt;0,N57*100/L57,0)</f>
        <v>60.169555555555554</v>
      </c>
      <c r="P57" s="38">
        <f ca="1">IF(M57&gt;0,N57*100/M57,0)</f>
        <v>78.543497809880193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IFERROR(__xludf.DUMMYFUNCTION("IMPORTRANGE(""https://docs.google.com/spreadsheets/d/1Yj_ptqi66GCucihVvJfMjLAmec39IyEx_6qawtMGysU/edit?usp=sharing"",""สบก!V69"")"),450000)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IFERROR(__xludf.DUMMYFUNCTION("IMPORTRANGE(""https://docs.google.com/spreadsheets/d/1Yj_ptqi66GCucihVvJfMjLAmec39IyEx_6qawtMGysU/edit?usp=sharing"",""สบก!X69"")"),0)</f>
        <v>0</v>
      </c>
      <c r="M61" s="49"/>
      <c r="N61" s="49">
        <f ca="1">IFERROR(__xludf.DUMMYFUNCTION("IMPORTRANGE(""https://docs.google.com/spreadsheets/d/1Yj_ptqi66GCucihVvJfMjLAmec39IyEx_6qawtMGysU/edit?usp=sharing"",""สบก!AB69"")"),0)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IFERROR(__xludf.DUMMYFUNCTION("IMPORTRANGE(""https://docs.google.com/spreadsheets/d/1SX6NBoVAgQJ6U1MVXOaj8PK2l7WJ3RER9xtqwdhxkhw/edit?usp=sharing"",""ปราจีนบุรี!I9"")"),0)</f>
        <v>0</v>
      </c>
      <c r="J64" s="142">
        <f ca="1">IFERROR(__xludf.DUMMYFUNCTION("IMPORTRANGE(""https://docs.google.com/spreadsheets/d/1SX6NBoVAgQJ6U1MVXOaj8PK2l7WJ3RER9xtqwdhxkhw/edit?usp=sharing"",""ปราจีนบุรี!J9"")"),0)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IFERROR(__xludf.DUMMYFUNCTION("IMPORTRANGE(""https://docs.google.com/spreadsheets/d/1SX6NBoVAgQJ6U1MVXOaj8PK2l7WJ3RER9xtqwdhxkhw/edit?usp=sharing"",""ปราจีนบุรี!I10"")"),0)</f>
        <v>0</v>
      </c>
      <c r="J65" s="142">
        <f ca="1">IFERROR(__xludf.DUMMYFUNCTION("IMPORTRANGE(""https://docs.google.com/spreadsheets/d/1SX6NBoVAgQJ6U1MVXOaj8PK2l7WJ3RER9xtqwdhxkhw/edit?usp=sharing"",""ปราจีนบุรี!J10"")"),0)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IFERROR(__xludf.DUMMYFUNCTION("IMPORTRANGE(""https://docs.google.com/spreadsheets/d/1Yj_ptqi66GCucihVvJfMjLAmec39IyEx_6qawtMGysU/edit?usp=sharing"",""สบก!AI69"")"),0)</f>
        <v>0</v>
      </c>
      <c r="N70" s="169">
        <f ca="1">IFERROR(__xludf.DUMMYFUNCTION("IMPORTRANGE(""https://docs.google.com/spreadsheets/d/1Yj_ptqi66GCucihVvJfMjLAmec39IyEx_6qawtMGysU/edit?usp=sharing"",""สบก!AJ69"")"),0)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IFERROR(__xludf.DUMMYFUNCTION("IMPORTRANGE(""https://docs.google.com/spreadsheets/d/1Yj_ptqi66GCucihVvJfMjLAmec39IyEx_6qawtMGysU/edit?usp=sharing"",""สบก!AG69"")"),0)</f>
        <v>0</v>
      </c>
      <c r="M74" s="49"/>
      <c r="N74" s="49">
        <f ca="1">IFERROR(__xludf.DUMMYFUNCTION("IMPORTRANGE(""https://docs.google.com/spreadsheets/d/1Yj_ptqi66GCucihVvJfMjLAmec39IyEx_6qawtMGysU/edit?usp=sharing"",""สบก!AK69"")"),0)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IFERROR(__xludf.DUMMYFUNCTION("IMPORTRANGE(""https://docs.google.com/spreadsheets/d/1SX6NBoVAgQJ6U1MVXOaj8PK2l7WJ3RER9xtqwdhxkhw/edit?usp=sharing"",""ปราจีนบุรี!J16"")"),0)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IFERROR(__xludf.DUMMYFUNCTION("IMPORTRANGE(""https://docs.google.com/spreadsheets/d/1SX6NBoVAgQJ6U1MVXOaj8PK2l7WJ3RER9xtqwdhxkhw/edit?usp=sharing"",""ปราจีนบุรี!J17"")"),0)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IFERROR(__xludf.DUMMYFUNCTION("IMPORTRANGE(""https://docs.google.com/spreadsheets/d/1SX6NBoVAgQJ6U1MVXOaj8PK2l7WJ3RER9xtqwdhxkhw/edit?usp=sharing"",""ปราจีนบุรี!J18"")"),0)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IFERROR(__xludf.DUMMYFUNCTION("IMPORTRANGE(""https://docs.google.com/spreadsheets/d/1SX6NBoVAgQJ6U1MVXOaj8PK2l7WJ3RER9xtqwdhxkhw/edit?usp=sharing"",""ปราจีนบุรี!J19"")"),0)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IFERROR(__xludf.DUMMYFUNCTION("IMPORTRANGE(""https://docs.google.com/spreadsheets/d/1SX6NBoVAgQJ6U1MVXOaj8PK2l7WJ3RER9xtqwdhxkhw/edit?usp=sharing"",""ปราจีนบุรี!I20"")"),0)</f>
        <v>0</v>
      </c>
      <c r="J80" s="201">
        <f ca="1">IFERROR(__xludf.DUMMYFUNCTION("IMPORTRANGE(""https://docs.google.com/spreadsheets/d/1SX6NBoVAgQJ6U1MVXOaj8PK2l7WJ3RER9xtqwdhxkhw/edit?usp=sharing"",""ปราจีนบุรี!J20"")"),0)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IFERROR(__xludf.DUMMYFUNCTION("IMPORTRANGE(""https://docs.google.com/spreadsheets/d/1SX6NBoVAgQJ6U1MVXOaj8PK2l7WJ3RER9xtqwdhxkhw/edit?usp=sharing"",""ปราจีนบุรี!I21"")"),0)</f>
        <v>0</v>
      </c>
      <c r="J81" s="201">
        <f ca="1">IFERROR(__xludf.DUMMYFUNCTION("IMPORTRANGE(""https://docs.google.com/spreadsheets/d/1SX6NBoVAgQJ6U1MVXOaj8PK2l7WJ3RER9xtqwdhxkhw/edit?usp=sharing"",""ปราจีนบุรี!J21"")"),0)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IFERROR(__xludf.DUMMYFUNCTION("IMPORTRANGE(""https://docs.google.com/spreadsheets/d/1SX6NBoVAgQJ6U1MVXOaj8PK2l7WJ3RER9xtqwdhxkhw/edit?usp=sharing"",""ปราจีนบุรี!I22"")"),0)</f>
        <v>0</v>
      </c>
      <c r="J82" s="204">
        <f ca="1">IFERROR(__xludf.DUMMYFUNCTION("IMPORTRANGE(""https://docs.google.com/spreadsheets/d/1SX6NBoVAgQJ6U1MVXOaj8PK2l7WJ3RER9xtqwdhxkhw/edit?usp=sharing"",""ปราจีนบุรี!J22"")"),0)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IFERROR(__xludf.DUMMYFUNCTION("IMPORTRANGE(""https://docs.google.com/spreadsheets/d/1SX6NBoVAgQJ6U1MVXOaj8PK2l7WJ3RER9xtqwdhxkhw/edit?usp=sharing"",""ปราจีนบุรี!I23"")"),0)</f>
        <v>0</v>
      </c>
      <c r="J83" s="204">
        <f ca="1">IFERROR(__xludf.DUMMYFUNCTION("IMPORTRANGE(""https://docs.google.com/spreadsheets/d/1SX6NBoVAgQJ6U1MVXOaj8PK2l7WJ3RER9xtqwdhxkhw/edit?usp=sharing"",""ปราจีนบุรี!J23"")"),0)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IFERROR(__xludf.DUMMYFUNCTION("IMPORTRANGE(""https://docs.google.com/spreadsheets/d/1SX6NBoVAgQJ6U1MVXOaj8PK2l7WJ3RER9xtqwdhxkhw/edit?usp=sharing"",""ปราจีนบุรี!I24"")"),0)</f>
        <v>0</v>
      </c>
      <c r="J84" s="189">
        <f ca="1">IFERROR(__xludf.DUMMYFUNCTION("IMPORTRANGE(""https://docs.google.com/spreadsheets/d/1SX6NBoVAgQJ6U1MVXOaj8PK2l7WJ3RER9xtqwdhxkhw/edit?usp=sharing"",""ปราจีนบุรี!J24"")"),0)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IFERROR(__xludf.DUMMYFUNCTION("IMPORTRANGE(""https://docs.google.com/spreadsheets/d/1SX6NBoVAgQJ6U1MVXOaj8PK2l7WJ3RER9xtqwdhxkhw/edit?usp=sharing"",""ปราจีนบุรี!I25"")"),0)</f>
        <v>0</v>
      </c>
      <c r="J85" s="189">
        <f ca="1">IFERROR(__xludf.DUMMYFUNCTION("IMPORTRANGE(""https://docs.google.com/spreadsheets/d/1SX6NBoVAgQJ6U1MVXOaj8PK2l7WJ3RER9xtqwdhxkhw/edit?usp=sharing"",""ปราจีนบุรี!J25"")"),0)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IFERROR(__xludf.DUMMYFUNCTION("IMPORTRANGE(""https://docs.google.com/spreadsheets/d/1SX6NBoVAgQJ6U1MVXOaj8PK2l7WJ3RER9xtqwdhxkhw/edit?usp=sharing"",""ปราจีนบุรี!I26"")"),0)</f>
        <v>0</v>
      </c>
      <c r="J86" s="204">
        <f ca="1">IFERROR(__xludf.DUMMYFUNCTION("IMPORTRANGE(""https://docs.google.com/spreadsheets/d/1SX6NBoVAgQJ6U1MVXOaj8PK2l7WJ3RER9xtqwdhxkhw/edit?usp=sharing"",""ปราจีนบุรี!J26"")"),0)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IFERROR(__xludf.DUMMYFUNCTION("IMPORTRANGE(""https://docs.google.com/spreadsheets/d/1SX6NBoVAgQJ6U1MVXOaj8PK2l7WJ3RER9xtqwdhxkhw/edit?usp=sharing"",""ปราจีนบุรี!I27"")"),0)</f>
        <v>0</v>
      </c>
      <c r="J87" s="204">
        <f ca="1">IFERROR(__xludf.DUMMYFUNCTION("IMPORTRANGE(""https://docs.google.com/spreadsheets/d/1SX6NBoVAgQJ6U1MVXOaj8PK2l7WJ3RER9xtqwdhxkhw/edit?usp=sharing"",""ปราจีนบุรี!J27"")"),0)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IFERROR(__xludf.DUMMYFUNCTION("IMPORTRANGE(""https://docs.google.com/spreadsheets/d/1SX6NBoVAgQJ6U1MVXOaj8PK2l7WJ3RER9xtqwdhxkhw/edit?usp=sharing"",""ปราจีนบุรี!I28"")"),0)</f>
        <v>0</v>
      </c>
      <c r="J88" s="204">
        <f ca="1">IFERROR(__xludf.DUMMYFUNCTION("IMPORTRANGE(""https://docs.google.com/spreadsheets/d/1SX6NBoVAgQJ6U1MVXOaj8PK2l7WJ3RER9xtqwdhxkhw/edit?usp=sharing"",""ปราจีนบุรี!J28"")"),0)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IFERROR(__xludf.DUMMYFUNCTION("IMPORTRANGE(""https://docs.google.com/spreadsheets/d/1SX6NBoVAgQJ6U1MVXOaj8PK2l7WJ3RER9xtqwdhxkhw/edit?usp=sharing"",""ปราจีนบุรี!J29"")"),0)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IFERROR(__xludf.DUMMYFUNCTION("IMPORTRANGE(""https://docs.google.com/spreadsheets/d/1SX6NBoVAgQJ6U1MVXOaj8PK2l7WJ3RER9xtqwdhxkhw/edit?usp=sharing"",""ปราจีนบุรี!J30"")"),0)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IFERROR(__xludf.DUMMYFUNCTION("IMPORTRANGE(""https://docs.google.com/spreadsheets/d/1SX6NBoVAgQJ6U1MVXOaj8PK2l7WJ3RER9xtqwdhxkhw/edit?usp=sharing"",""ปราจีนบุรี!I32"")"),4)</f>
        <v>4</v>
      </c>
      <c r="J92" s="142">
        <f ca="1">IFERROR(__xludf.DUMMYFUNCTION("IMPORTRANGE(""https://docs.google.com/spreadsheets/d/1SX6NBoVAgQJ6U1MVXOaj8PK2l7WJ3RER9xtqwdhxkhw/edit?usp=sharing"",""ปราจีนบุรี!J32"")"),4)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IFERROR(__xludf.DUMMYFUNCTION("IMPORTRANGE(""https://docs.google.com/spreadsheets/d/1SX6NBoVAgQJ6U1MVXOaj8PK2l7WJ3RER9xtqwdhxkhw/edit?usp=sharing"",""ปราจีนบุรี!I33"")"),1)</f>
        <v>1</v>
      </c>
      <c r="J93" s="142">
        <f ca="1">IFERROR(__xludf.DUMMYFUNCTION("IMPORTRANGE(""https://docs.google.com/spreadsheets/d/1SX6NBoVAgQJ6U1MVXOaj8PK2l7WJ3RER9xtqwdhxkhw/edit?usp=sharing"",""ปราจีนบุรี!J33"")"),1)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192000</v>
      </c>
      <c r="O94" s="151">
        <f t="shared" ref="O94:O96" ca="1" si="53">IF(L94&gt;0,N94*100/L94,0)</f>
        <v>89.510489510489506</v>
      </c>
      <c r="P94" s="151">
        <f t="shared" ref="P94:P96" ca="1" si="54">IF(M94&gt;0,N94*100/M94,0)</f>
        <v>89.510489510489506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192000</v>
      </c>
      <c r="O96" s="156">
        <f t="shared" ca="1" si="53"/>
        <v>89.510489510489506</v>
      </c>
      <c r="P96" s="156">
        <f t="shared" ca="1" si="54"/>
        <v>89.510489510489506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IFERROR(__xludf.DUMMYFUNCTION("IMPORTRANGE(""https://docs.google.com/spreadsheets/d/1Yj_ptqi66GCucihVvJfMjLAmec39IyEx_6qawtMGysU/edit?usp=sharing"",""สบก!AR69"")"),122100)</f>
        <v>122100</v>
      </c>
      <c r="N98" s="169">
        <f ca="1">IFERROR(__xludf.DUMMYFUNCTION("IMPORTRANGE(""https://docs.google.com/spreadsheets/d/1Yj_ptqi66GCucihVvJfMjLAmec39IyEx_6qawtMGysU/edit?usp=sharing"",""สบก!AS69"")"),99600)</f>
        <v>99600</v>
      </c>
      <c r="O98" s="169">
        <f ca="1">IF(L98&gt;0,N98*100/L98,0)</f>
        <v>81.572481572481578</v>
      </c>
      <c r="P98" s="169">
        <f ca="1">IF(M98&gt;0,N98*100/M98,0)</f>
        <v>81.572481572481578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IFERROR(__xludf.DUMMYFUNCTION("IMPORTRANGE(""https://docs.google.com/spreadsheets/d/1SX6NBoVAgQJ6U1MVXOaj8PK2l7WJ3RER9xtqwdhxkhw/edit?usp=sharing"",""ปราจีนบุรี!J39"")"),0)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IFERROR(__xludf.DUMMYFUNCTION("IMPORTRANGE(""https://docs.google.com/spreadsheets/d/1SX6NBoVAgQJ6U1MVXOaj8PK2l7WJ3RER9xtqwdhxkhw/edit?usp=sharing"",""ปราจีนบุรี!J40"")"),1)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IFERROR(__xludf.DUMMYFUNCTION("IMPORTRANGE(""https://docs.google.com/spreadsheets/d/1SX6NBoVAgQJ6U1MVXOaj8PK2l7WJ3RER9xtqwdhxkhw/edit?usp=sharing"",""ปราจีนบุรี!J41"")"),1)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IFERROR(__xludf.DUMMYFUNCTION("IMPORTRANGE(""https://docs.google.com/spreadsheets/d/1SX6NBoVAgQJ6U1MVXOaj8PK2l7WJ3RER9xtqwdhxkhw/edit?usp=sharing"",""ปราจีนบุรี!J42"")"),1)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IFERROR(__xludf.DUMMYFUNCTION("IMPORTRANGE(""https://docs.google.com/spreadsheets/d/1SX6NBoVAgQJ6U1MVXOaj8PK2l7WJ3RER9xtqwdhxkhw/edit?usp=sharing"",""ปราจีนบุรี!I43"")"),1)</f>
        <v>1</v>
      </c>
      <c r="J108" s="204">
        <f ca="1">IFERROR(__xludf.DUMMYFUNCTION("IMPORTRANGE(""https://docs.google.com/spreadsheets/d/1SX6NBoVAgQJ6U1MVXOaj8PK2l7WJ3RER9xtqwdhxkhw/edit?usp=sharing"",""ปราจีนบุรี!J43"")"),1)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IFERROR(__xludf.DUMMYFUNCTION("IMPORTRANGE(""https://docs.google.com/spreadsheets/d/1SX6NBoVAgQJ6U1MVXOaj8PK2l7WJ3RER9xtqwdhxkhw/edit?usp=sharing"",""ปราจีนบุรี!I44"")"),4)</f>
        <v>4</v>
      </c>
      <c r="J109" s="204">
        <f ca="1">IFERROR(__xludf.DUMMYFUNCTION("IMPORTRANGE(""https://docs.google.com/spreadsheets/d/1SX6NBoVAgQJ6U1MVXOaj8PK2l7WJ3RER9xtqwdhxkhw/edit?usp=sharing"",""ปราจีนบุรี!J44"")"),4)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IFERROR(__xludf.DUMMYFUNCTION("IMPORTRANGE(""https://docs.google.com/spreadsheets/d/1SX6NBoVAgQJ6U1MVXOaj8PK2l7WJ3RER9xtqwdhxkhw/edit?usp=sharing"",""ปราจีนบุรี!I45"")"),4)</f>
        <v>4</v>
      </c>
      <c r="J110" s="204">
        <f ca="1">IFERROR(__xludf.DUMMYFUNCTION("IMPORTRANGE(""https://docs.google.com/spreadsheets/d/1SX6NBoVAgQJ6U1MVXOaj8PK2l7WJ3RER9xtqwdhxkhw/edit?usp=sharing"",""ปราจีนบุรี!J45"")"),4)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IFERROR(__xludf.DUMMYFUNCTION("IMPORTRANGE(""https://docs.google.com/spreadsheets/d/1SX6NBoVAgQJ6U1MVXOaj8PK2l7WJ3RER9xtqwdhxkhw/edit?usp=sharing"",""ปราจีนบุรี!I46"")"),4)</f>
        <v>4</v>
      </c>
      <c r="J111" s="204">
        <f ca="1">IFERROR(__xludf.DUMMYFUNCTION("IMPORTRANGE(""https://docs.google.com/spreadsheets/d/1SX6NBoVAgQJ6U1MVXOaj8PK2l7WJ3RER9xtqwdhxkhw/edit?usp=sharing"",""ปราจีนบุรี!J46"")"),4)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IFERROR(__xludf.DUMMYFUNCTION("IMPORTRANGE(""https://docs.google.com/spreadsheets/d/1SX6NBoVAgQJ6U1MVXOaj8PK2l7WJ3RER9xtqwdhxkhw/edit?usp=sharing"",""ปราจีนบุรี!I47"")"),4)</f>
        <v>4</v>
      </c>
      <c r="J112" s="204">
        <f ca="1">IFERROR(__xludf.DUMMYFUNCTION("IMPORTRANGE(""https://docs.google.com/spreadsheets/d/1SX6NBoVAgQJ6U1MVXOaj8PK2l7WJ3RER9xtqwdhxkhw/edit?usp=sharing"",""ปราจีนบุรี!J47"")"),4)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IFERROR(__xludf.DUMMYFUNCTION("IMPORTRANGE(""https://docs.google.com/spreadsheets/d/1SX6NBoVAgQJ6U1MVXOaj8PK2l7WJ3RER9xtqwdhxkhw/edit?usp=sharing"",""ปราจีนบุรี!I48"")"),1)</f>
        <v>1</v>
      </c>
      <c r="J113" s="204">
        <f ca="1">IFERROR(__xludf.DUMMYFUNCTION("IMPORTRANGE(""https://docs.google.com/spreadsheets/d/1SX6NBoVAgQJ6U1MVXOaj8PK2l7WJ3RER9xtqwdhxkhw/edit?usp=sharing"",""ปราจีนบุรี!J48"")"),1)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IFERROR(__xludf.DUMMYFUNCTION("IMPORTRANGE(""https://docs.google.com/spreadsheets/d/1SX6NBoVAgQJ6U1MVXOaj8PK2l7WJ3RER9xtqwdhxkhw/edit?usp=sharing"",""ปราจีนบุรี!J49"")"),0)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IFERROR(__xludf.DUMMYFUNCTION("IMPORTRANGE(""https://docs.google.com/spreadsheets/d/1SX6NBoVAgQJ6U1MVXOaj8PK2l7WJ3RER9xtqwdhxkhw/edit?usp=sharing"",""ปราจีนบุรี!J50"")"),0)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IFERROR(__xludf.DUMMYFUNCTION("IMPORTRANGE(""https://docs.google.com/spreadsheets/d/1SX6NBoVAgQJ6U1MVXOaj8PK2l7WJ3RER9xtqwdhxkhw/edit?usp=sharing"",""ปราจีนบุรี!I52"")"),0)</f>
        <v>0</v>
      </c>
      <c r="J117" s="142">
        <f ca="1">IFERROR(__xludf.DUMMYFUNCTION("IMPORTRANGE(""https://docs.google.com/spreadsheets/d/1SX6NBoVAgQJ6U1MVXOaj8PK2l7WJ3RER9xtqwdhxkhw/edit?usp=sharing"",""ปราจีนบุรี!J52"")"),0)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1396</v>
      </c>
      <c r="M118" s="152">
        <f t="shared" ca="1" si="58"/>
        <v>1396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1396</v>
      </c>
      <c r="M120" s="157">
        <f t="shared" ca="1" si="62"/>
        <v>1396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1396</v>
      </c>
      <c r="M122" s="168">
        <f ca="1">IFERROR(__xludf.DUMMYFUNCTION("IMPORTRANGE(""https://docs.google.com/spreadsheets/d/1Yj_ptqi66GCucihVvJfMjLAmec39IyEx_6qawtMGysU/edit?usp=sharing"",""สบก!BA69"")"),1396)</f>
        <v>1396</v>
      </c>
      <c r="N122" s="169">
        <f ca="1">IFERROR(__xludf.DUMMYFUNCTION("IMPORTRANGE(""https://docs.google.com/spreadsheets/d/1Yj_ptqi66GCucihVvJfMjLAmec39IyEx_6qawtMGysU/edit?usp=sharing"",""สบก!BB69"")"),0)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IFERROR(__xludf.DUMMYFUNCTION("IMPORTRANGE(""https://docs.google.com/spreadsheets/d/1Yj_ptqi66GCucihVvJfMjLAmec39IyEx_6qawtMGysU/edit?usp=sharing"",""สบก!AX69"")"),1396)</f>
        <v>1396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IFERROR(__xludf.DUMMYFUNCTION("IMPORTRANGE(""https://docs.google.com/spreadsheets/d/1Yj_ptqi66GCucihVvJfMjLAmec39IyEx_6qawtMGysU/edit?usp=sharing"",""สบก!AY69"")"),0)</f>
        <v>0</v>
      </c>
      <c r="M126" s="49"/>
      <c r="N126" s="49">
        <f ca="1">IFERROR(__xludf.DUMMYFUNCTION("IMPORTRANGE(""https://docs.google.com/spreadsheets/d/1Yj_ptqi66GCucihVvJfMjLAmec39IyEx_6qawtMGysU/edit?usp=sharing"",""สบก!BC69"")"),0)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IFERROR(__xludf.DUMMYFUNCTION("IMPORTRANGE(""https://docs.google.com/spreadsheets/d/1SX6NBoVAgQJ6U1MVXOaj8PK2l7WJ3RER9xtqwdhxkhw/edit?usp=sharing"",""ปราจีนบุรี!J58"")"),0)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IFERROR(__xludf.DUMMYFUNCTION("IMPORTRANGE(""https://docs.google.com/spreadsheets/d/1SX6NBoVAgQJ6U1MVXOaj8PK2l7WJ3RER9xtqwdhxkhw/edit?usp=sharing"",""ปราจีนบุรี!J59"")"),0)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IFERROR(__xludf.DUMMYFUNCTION("IMPORTRANGE(""https://docs.google.com/spreadsheets/d/1SX6NBoVAgQJ6U1MVXOaj8PK2l7WJ3RER9xtqwdhxkhw/edit?usp=sharing"",""ปราจีนบุรี!J60"")"),0)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IFERROR(__xludf.DUMMYFUNCTION("IMPORTRANGE(""https://docs.google.com/spreadsheets/d/1SX6NBoVAgQJ6U1MVXOaj8PK2l7WJ3RER9xtqwdhxkhw/edit?usp=sharing"",""ปราจีนบุรี!J61"")"),0)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IFERROR(__xludf.DUMMYFUNCTION("IMPORTRANGE(""https://docs.google.com/spreadsheets/d/1SX6NBoVAgQJ6U1MVXOaj8PK2l7WJ3RER9xtqwdhxkhw/edit?usp=sharing"",""ปราจีนบุรี!I62"")"),0)</f>
        <v>0</v>
      </c>
      <c r="J132" s="204">
        <f ca="1">IFERROR(__xludf.DUMMYFUNCTION("IMPORTRANGE(""https://docs.google.com/spreadsheets/d/1SX6NBoVAgQJ6U1MVXOaj8PK2l7WJ3RER9xtqwdhxkhw/edit?usp=sharing"",""ปราจีนบุรี!J62"")"),0)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IFERROR(__xludf.DUMMYFUNCTION("IMPORTRANGE(""https://docs.google.com/spreadsheets/d/1SX6NBoVAgQJ6U1MVXOaj8PK2l7WJ3RER9xtqwdhxkhw/edit?usp=sharing"",""ปราจีนบุรี!I63"")"),0)</f>
        <v>0</v>
      </c>
      <c r="J133" s="204">
        <f ca="1">IFERROR(__xludf.DUMMYFUNCTION("IMPORTRANGE(""https://docs.google.com/spreadsheets/d/1SX6NBoVAgQJ6U1MVXOaj8PK2l7WJ3RER9xtqwdhxkhw/edit?usp=sharing"",""ปราจีนบุรี!J63"")"),0)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IFERROR(__xludf.DUMMYFUNCTION("IMPORTRANGE(""https://docs.google.com/spreadsheets/d/1SX6NBoVAgQJ6U1MVXOaj8PK2l7WJ3RER9xtqwdhxkhw/edit?usp=sharing"",""ปราจีนบุรี!J64"")"),0)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IFERROR(__xludf.DUMMYFUNCTION("IMPORTRANGE(""https://docs.google.com/spreadsheets/d/1SX6NBoVAgQJ6U1MVXOaj8PK2l7WJ3RER9xtqwdhxkhw/edit?usp=sharing"",""ปราจีนบุรี!J65"")"),0)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IFERROR(__xludf.DUMMYFUNCTION("IMPORTRANGE(""https://docs.google.com/spreadsheets/d/1SX6NBoVAgQJ6U1MVXOaj8PK2l7WJ3RER9xtqwdhxkhw/edit?usp=sharing"",""ปราจีนบุรี!I68"")"),20)</f>
        <v>20</v>
      </c>
      <c r="J138" s="268">
        <f ca="1">IFERROR(__xludf.DUMMYFUNCTION("IMPORTRANGE(""https://docs.google.com/spreadsheets/d/1SX6NBoVAgQJ6U1MVXOaj8PK2l7WJ3RER9xtqwdhxkhw/edit?usp=sharing"",""ปราจีนบุรี!J68"")"),20)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431300</v>
      </c>
      <c r="M140" s="152">
        <f t="shared" ca="1" si="64"/>
        <v>431300</v>
      </c>
      <c r="N140" s="152">
        <f t="shared" ca="1" si="64"/>
        <v>309177</v>
      </c>
      <c r="O140" s="151">
        <f t="shared" ref="O140:O142" ca="1" si="65">IF(L140&gt;0,N140*100/L140,0)</f>
        <v>71.684906097843722</v>
      </c>
      <c r="P140" s="151">
        <f t="shared" ref="P140:P142" ca="1" si="66">IF(M140&gt;0,N140*100/M140,0)</f>
        <v>71.684906097843722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431300</v>
      </c>
      <c r="M142" s="157">
        <f t="shared" ca="1" si="68"/>
        <v>431300</v>
      </c>
      <c r="N142" s="157">
        <f t="shared" ca="1" si="68"/>
        <v>309177</v>
      </c>
      <c r="O142" s="156">
        <f t="shared" ca="1" si="65"/>
        <v>71.684906097843722</v>
      </c>
      <c r="P142" s="156">
        <f t="shared" ca="1" si="66"/>
        <v>71.684906097843722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431300</v>
      </c>
      <c r="M144" s="168">
        <f ca="1">IFERROR(__xludf.DUMMYFUNCTION("IMPORTRANGE(""https://docs.google.com/spreadsheets/d/1Yj_ptqi66GCucihVvJfMjLAmec39IyEx_6qawtMGysU/edit?usp=sharing"",""สบก!BJ69"")"),431300)</f>
        <v>431300</v>
      </c>
      <c r="N144" s="169">
        <f ca="1">IFERROR(__xludf.DUMMYFUNCTION("IMPORTRANGE(""https://docs.google.com/spreadsheets/d/1Yj_ptqi66GCucihVvJfMjLAmec39IyEx_6qawtMGysU/edit?usp=sharing"",""สบก!BK69"")"),309177)</f>
        <v>309177</v>
      </c>
      <c r="O144" s="169">
        <f ca="1">IF(L144&gt;0,N144*100/L144,0)</f>
        <v>71.684906097843722</v>
      </c>
      <c r="P144" s="169">
        <f ca="1">IF(M144&gt;0,N144*100/M144,0)</f>
        <v>71.684906097843722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IFERROR(__xludf.DUMMYFUNCTION("IMPORTRANGE(""https://docs.google.com/spreadsheets/d/1Yj_ptqi66GCucihVvJfMjLAmec39IyEx_6qawtMGysU/edit?usp=sharing"",""สบก!BF69"")"),305000)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IFERROR(__xludf.DUMMYFUNCTION("IMPORTRANGE(""https://docs.google.com/spreadsheets/d/1Yj_ptqi66GCucihVvJfMjLAmec39IyEx_6qawtMGysU/edit?usp=sharing"",""สบก!BG69"")"),126300)</f>
        <v>126300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IFERROR(__xludf.DUMMYFUNCTION("IMPORTRANGE(""https://docs.google.com/spreadsheets/d/1Yj_ptqi66GCucihVvJfMjLAmec39IyEx_6qawtMGysU/edit?usp=sharing"",""สบก!BH69"")"),0)</f>
        <v>0</v>
      </c>
      <c r="M148" s="49"/>
      <c r="N148" s="49">
        <f ca="1">IFERROR(__xludf.DUMMYFUNCTION("IMPORTRANGE(""https://docs.google.com/spreadsheets/d/1Yj_ptqi66GCucihVvJfMjLAmec39IyEx_6qawtMGysU/edit?usp=sharing"",""สบก!BL69"")"),0)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IFERROR(__xludf.DUMMYFUNCTION("IMPORTRANGE(""https://docs.google.com/spreadsheets/d/1SX6NBoVAgQJ6U1MVXOaj8PK2l7WJ3RER9xtqwdhxkhw/edit?usp=sharing"",""ปราจีนบุรี!I74"")"),4)</f>
        <v>4</v>
      </c>
      <c r="J149" s="276">
        <f ca="1">IFERROR(__xludf.DUMMYFUNCTION("IMPORTRANGE(""https://docs.google.com/spreadsheets/d/1SX6NBoVAgQJ6U1MVXOaj8PK2l7WJ3RER9xtqwdhxkhw/edit?usp=sharing"",""ปราจีนบุรี!J74"")"),3)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IFERROR(__xludf.DUMMYFUNCTION("IMPORTRANGE(""https://docs.google.com/spreadsheets/d/1SX6NBoVAgQJ6U1MVXOaj8PK2l7WJ3RER9xtqwdhxkhw/edit?usp=sharing"",""ปราจีนบุรี!J79"")"),0)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IFERROR(__xludf.DUMMYFUNCTION("IMPORTRANGE(""https://docs.google.com/spreadsheets/d/1SX6NBoVAgQJ6U1MVXOaj8PK2l7WJ3RER9xtqwdhxkhw/edit?usp=sharing"",""ปราจีนบุรี!J80"")"),1)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IFERROR(__xludf.DUMMYFUNCTION("IMPORTRANGE(""https://docs.google.com/spreadsheets/d/1SX6NBoVAgQJ6U1MVXOaj8PK2l7WJ3RER9xtqwdhxkhw/edit?usp=sharing"",""ปราจีนบุรี!J81"")"),3)</f>
        <v>3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IFERROR(__xludf.DUMMYFUNCTION("IMPORTRANGE(""https://docs.google.com/spreadsheets/d/1SX6NBoVAgQJ6U1MVXOaj8PK2l7WJ3RER9xtqwdhxkhw/edit?usp=sharing"",""ปราจีนบุรี!J82"")"),1)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IFERROR(__xludf.DUMMYFUNCTION("IMPORTRANGE(""https://docs.google.com/spreadsheets/d/1SX6NBoVAgQJ6U1MVXOaj8PK2l7WJ3RER9xtqwdhxkhw/edit?usp=sharing"",""ปราจีนบุรี!I83"")"),4)</f>
        <v>4</v>
      </c>
      <c r="J158" s="189">
        <f ca="1">IFERROR(__xludf.DUMMYFUNCTION("IMPORTRANGE(""https://docs.google.com/spreadsheets/d/1SX6NBoVAgQJ6U1MVXOaj8PK2l7WJ3RER9xtqwdhxkhw/edit?usp=sharing"",""ปราจีนบุรี!J83"")"),3)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IFERROR(__xludf.DUMMYFUNCTION("IMPORTRANGE(""https://docs.google.com/spreadsheets/d/1SX6NBoVAgQJ6U1MVXOaj8PK2l7WJ3RER9xtqwdhxkhw/edit?usp=sharing"",""ปราจีนบุรี!J84"")"),36)</f>
        <v>36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IFERROR(__xludf.DUMMYFUNCTION("IMPORTRANGE(""https://docs.google.com/spreadsheets/d/1SX6NBoVAgQJ6U1MVXOaj8PK2l7WJ3RER9xtqwdhxkhw/edit?usp=sharing"",""ปราจีนบุรี!J85"")"),35)</f>
        <v>35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IFERROR(__xludf.DUMMYFUNCTION("IMPORTRANGE(""https://docs.google.com/spreadsheets/d/1SX6NBoVAgQJ6U1MVXOaj8PK2l7WJ3RER9xtqwdhxkhw/edit?usp=sharing"",""ปราจีนบุรี!J86"")"),1)</f>
        <v>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IFERROR(__xludf.DUMMYFUNCTION("IMPORTRANGE(""https://docs.google.com/spreadsheets/d/1SX6NBoVAgQJ6U1MVXOaj8PK2l7WJ3RER9xtqwdhxkhw/edit?usp=sharing"",""ปราจีนบุรี!J87"")"),0)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IFERROR(__xludf.DUMMYFUNCTION("IMPORTRANGE(""https://docs.google.com/spreadsheets/d/1SX6NBoVAgQJ6U1MVXOaj8PK2l7WJ3RER9xtqwdhxkhw/edit?usp=sharing"",""ปราจีนบุรี!J88"")"),0)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IFERROR(__xludf.DUMMYFUNCTION("IMPORTRANGE(""https://docs.google.com/spreadsheets/d/1SX6NBoVAgQJ6U1MVXOaj8PK2l7WJ3RER9xtqwdhxkhw/edit?usp=sharing"",""ปราจีนบุรี!I89"")"),3)</f>
        <v>3</v>
      </c>
      <c r="J164" s="285">
        <f ca="1">IFERROR(__xludf.DUMMYFUNCTION("IMPORTRANGE(""https://docs.google.com/spreadsheets/d/1SX6NBoVAgQJ6U1MVXOaj8PK2l7WJ3RER9xtqwdhxkhw/edit?usp=sharing"",""ปราจีนบุรี!J89"")"),3)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IFERROR(__xludf.DUMMYFUNCTION("IMPORTRANGE(""https://docs.google.com/spreadsheets/d/1SX6NBoVAgQJ6U1MVXOaj8PK2l7WJ3RER9xtqwdhxkhw/edit?usp=sharing"",""ปราจีนบุรี!J94"")"),0)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IFERROR(__xludf.DUMMYFUNCTION("IMPORTRANGE(""https://docs.google.com/spreadsheets/d/1SX6NBoVAgQJ6U1MVXOaj8PK2l7WJ3RER9xtqwdhxkhw/edit?usp=sharing"",""ปราจีนบุรี!J95"")"),1)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IFERROR(__xludf.DUMMYFUNCTION("IMPORTRANGE(""https://docs.google.com/spreadsheets/d/1SX6NBoVAgQJ6U1MVXOaj8PK2l7WJ3RER9xtqwdhxkhw/edit?usp=sharing"",""ปราจีนบุรี!J96"")"),1)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IFERROR(__xludf.DUMMYFUNCTION("IMPORTRANGE(""https://docs.google.com/spreadsheets/d/1SX6NBoVAgQJ6U1MVXOaj8PK2l7WJ3RER9xtqwdhxkhw/edit?usp=sharing"",""ปราจีนบุรี!J97"")"),1)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IFERROR(__xludf.DUMMYFUNCTION("IMPORTRANGE(""https://docs.google.com/spreadsheets/d/1SX6NBoVAgQJ6U1MVXOaj8PK2l7WJ3RER9xtqwdhxkhw/edit?usp=sharing"",""ปราจีนบุรี!I98"")"),3)</f>
        <v>3</v>
      </c>
      <c r="J173" s="189">
        <f ca="1">IFERROR(__xludf.DUMMYFUNCTION("IMPORTRANGE(""https://docs.google.com/spreadsheets/d/1SX6NBoVAgQJ6U1MVXOaj8PK2l7WJ3RER9xtqwdhxkhw/edit?usp=sharing"",""ปราจีนบุรี!J98"")"),3)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IFERROR(__xludf.DUMMYFUNCTION("IMPORTRANGE(""https://docs.google.com/spreadsheets/d/1SX6NBoVAgQJ6U1MVXOaj8PK2l7WJ3RER9xtqwdhxkhw/edit?usp=sharing"",""ปราจีนบุรี!J99"")"),0)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IFERROR(__xludf.DUMMYFUNCTION("IMPORTRANGE(""https://docs.google.com/spreadsheets/d/1SX6NBoVAgQJ6U1MVXOaj8PK2l7WJ3RER9xtqwdhxkhw/edit?usp=sharing"",""ปราจีนบุรี!J100"")"),0)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IFERROR(__xludf.DUMMYFUNCTION("IMPORTRANGE(""https://docs.google.com/spreadsheets/d/1SX6NBoVAgQJ6U1MVXOaj8PK2l7WJ3RER9xtqwdhxkhw/edit?usp=sharing"",""ปราจีนบุรี!I101"")"),0)</f>
        <v>0</v>
      </c>
      <c r="J176" s="285">
        <f ca="1">IFERROR(__xludf.DUMMYFUNCTION("IMPORTRANGE(""https://docs.google.com/spreadsheets/d/1SX6NBoVAgQJ6U1MVXOaj8PK2l7WJ3RER9xtqwdhxkhw/edit?usp=sharing"",""ปราจีนบุรี!J101"")"),0)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IFERROR(__xludf.DUMMYFUNCTION("IMPORTRANGE(""https://docs.google.com/spreadsheets/d/1SX6NBoVAgQJ6U1MVXOaj8PK2l7WJ3RER9xtqwdhxkhw/edit?usp=sharing"",""ปราจีนบุรี!J106"")"),0)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IFERROR(__xludf.DUMMYFUNCTION("IMPORTRANGE(""https://docs.google.com/spreadsheets/d/1SX6NBoVAgQJ6U1MVXOaj8PK2l7WJ3RER9xtqwdhxkhw/edit?usp=sharing"",""ปราจีนบุรี!J107"")"),0)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IFERROR(__xludf.DUMMYFUNCTION("IMPORTRANGE(""https://docs.google.com/spreadsheets/d/1SX6NBoVAgQJ6U1MVXOaj8PK2l7WJ3RER9xtqwdhxkhw/edit?usp=sharing"",""ปราจีนบุรี!J108"")"),0)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IFERROR(__xludf.DUMMYFUNCTION("IMPORTRANGE(""https://docs.google.com/spreadsheets/d/1SX6NBoVAgQJ6U1MVXOaj8PK2l7WJ3RER9xtqwdhxkhw/edit?usp=sharing"",""ปราจีนบุรี!J109"")"),0)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IFERROR(__xludf.DUMMYFUNCTION("IMPORTRANGE(""https://docs.google.com/spreadsheets/d/1SX6NBoVAgQJ6U1MVXOaj8PK2l7WJ3RER9xtqwdhxkhw/edit?usp=sharing"",""ปราจีนบุรี!I110"")"),0)</f>
        <v>0</v>
      </c>
      <c r="J185" s="204">
        <f ca="1">IFERROR(__xludf.DUMMYFUNCTION("IMPORTRANGE(""https://docs.google.com/spreadsheets/d/1SX6NBoVAgQJ6U1MVXOaj8PK2l7WJ3RER9xtqwdhxkhw/edit?usp=sharing"",""ปราจีนบุรี!J110"")"),0)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IFERROR(__xludf.DUMMYFUNCTION("IMPORTRANGE(""https://docs.google.com/spreadsheets/d/1SX6NBoVAgQJ6U1MVXOaj8PK2l7WJ3RER9xtqwdhxkhw/edit?usp=sharing"",""ปราจีนบุรี!I111"")"),0)</f>
        <v>0</v>
      </c>
      <c r="J186" s="204">
        <f ca="1">IFERROR(__xludf.DUMMYFUNCTION("IMPORTRANGE(""https://docs.google.com/spreadsheets/d/1SX6NBoVAgQJ6U1MVXOaj8PK2l7WJ3RER9xtqwdhxkhw/edit?usp=sharing"",""ปราจีนบุรี!J111"")"),0)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IFERROR(__xludf.DUMMYFUNCTION("IMPORTRANGE(""https://docs.google.com/spreadsheets/d/1SX6NBoVAgQJ6U1MVXOaj8PK2l7WJ3RER9xtqwdhxkhw/edit?usp=sharing"",""ปราจีนบุรี!J112"")"),0)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IFERROR(__xludf.DUMMYFUNCTION("IMPORTRANGE(""https://docs.google.com/spreadsheets/d/1SX6NBoVAgQJ6U1MVXOaj8PK2l7WJ3RER9xtqwdhxkhw/edit?usp=sharing"",""ปราจีนบุรี!J113"")"),0)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IFERROR(__xludf.DUMMYFUNCTION("IMPORTRANGE(""https://docs.google.com/spreadsheets/d/1SX6NBoVAgQJ6U1MVXOaj8PK2l7WJ3RER9xtqwdhxkhw/edit?usp=sharing"",""ปราจีนบุรี!I114"")"),20000)</f>
        <v>20000</v>
      </c>
      <c r="J189" s="285">
        <f ca="1">IFERROR(__xludf.DUMMYFUNCTION("IMPORTRANGE(""https://docs.google.com/spreadsheets/d/1SX6NBoVAgQJ6U1MVXOaj8PK2l7WJ3RER9xtqwdhxkhw/edit?usp=sharing"",""ปราจีนบุรี!J114"")"),0)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IFERROR(__xludf.DUMMYFUNCTION("IMPORTRANGE(""https://docs.google.com/spreadsheets/d/1SX6NBoVAgQJ6U1MVXOaj8PK2l7WJ3RER9xtqwdhxkhw/edit?usp=sharing"",""ปราจีนบุรี!J119"")"),1)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IFERROR(__xludf.DUMMYFUNCTION("IMPORTRANGE(""https://docs.google.com/spreadsheets/d/1SX6NBoVAgQJ6U1MVXOaj8PK2l7WJ3RER9xtqwdhxkhw/edit?usp=sharing"",""ปราจีนบุรี!J120"")"),0)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IFERROR(__xludf.DUMMYFUNCTION("IMPORTRANGE(""https://docs.google.com/spreadsheets/d/1SX6NBoVAgQJ6U1MVXOaj8PK2l7WJ3RER9xtqwdhxkhw/edit?usp=sharing"",""ปราจีนบุรี!J121"")"),0)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IFERROR(__xludf.DUMMYFUNCTION("IMPORTRANGE(""https://docs.google.com/spreadsheets/d/1SX6NBoVAgQJ6U1MVXOaj8PK2l7WJ3RER9xtqwdhxkhw/edit?usp=sharing"",""ปราจีนบุรี!J122"")"),0)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IFERROR(__xludf.DUMMYFUNCTION("IMPORTRANGE(""https://docs.google.com/spreadsheets/d/1SX6NBoVAgQJ6U1MVXOaj8PK2l7WJ3RER9xtqwdhxkhw/edit?usp=sharing"",""ปราจีนบุรี!I124"")"),20000)</f>
        <v>20000</v>
      </c>
      <c r="J199" s="189">
        <f ca="1">IFERROR(__xludf.DUMMYFUNCTION("IMPORTRANGE(""https://docs.google.com/spreadsheets/d/1SX6NBoVAgQJ6U1MVXOaj8PK2l7WJ3RER9xtqwdhxkhw/edit?usp=sharing"",""ปราจีนบุรี!J124"")"),20000)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IFERROR(__xludf.DUMMYFUNCTION("IMPORTRANGE(""https://docs.google.com/spreadsheets/d/1SX6NBoVAgQJ6U1MVXOaj8PK2l7WJ3RER9xtqwdhxkhw/edit?usp=sharing"",""ปราจีนบุรี!I125"")"),20000)</f>
        <v>20000</v>
      </c>
      <c r="J200" s="189">
        <f ca="1">IFERROR(__xludf.DUMMYFUNCTION("IMPORTRANGE(""https://docs.google.com/spreadsheets/d/1SX6NBoVAgQJ6U1MVXOaj8PK2l7WJ3RER9xtqwdhxkhw/edit?usp=sharing"",""ปราจีนบุรี!J125"")"),0)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IFERROR(__xludf.DUMMYFUNCTION("IMPORTRANGE(""https://docs.google.com/spreadsheets/d/1SX6NBoVAgQJ6U1MVXOaj8PK2l7WJ3RER9xtqwdhxkhw/edit?usp=sharing"",""ปราจีนบุรี!I126"")"),0)</f>
        <v>0</v>
      </c>
      <c r="J201" s="189">
        <f ca="1">IFERROR(__xludf.DUMMYFUNCTION("IMPORTRANGE(""https://docs.google.com/spreadsheets/d/1SX6NBoVAgQJ6U1MVXOaj8PK2l7WJ3RER9xtqwdhxkhw/edit?usp=sharing"",""ปราจีนบุรี!J126"")"),0)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IFERROR(__xludf.DUMMYFUNCTION("IMPORTRANGE(""https://docs.google.com/spreadsheets/d/1SX6NBoVAgQJ6U1MVXOaj8PK2l7WJ3RER9xtqwdhxkhw/edit?usp=sharing"",""ปราจีนบุรี!J127"")"),0)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IFERROR(__xludf.DUMMYFUNCTION("IMPORTRANGE(""https://docs.google.com/spreadsheets/d/1SX6NBoVAgQJ6U1MVXOaj8PK2l7WJ3RER9xtqwdhxkhw/edit?usp=sharing"",""ปราจีนบุรี!J128"")"),0)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IFERROR(__xludf.DUMMYFUNCTION("IMPORTRANGE(""https://docs.google.com/spreadsheets/d/1SX6NBoVAgQJ6U1MVXOaj8PK2l7WJ3RER9xtqwdhxkhw/edit?usp=sharing"",""ปราจีนบุรี!I129"")"),20)</f>
        <v>20</v>
      </c>
      <c r="J204" s="285">
        <f ca="1">IFERROR(__xludf.DUMMYFUNCTION("IMPORTRANGE(""https://docs.google.com/spreadsheets/d/1SX6NBoVAgQJ6U1MVXOaj8PK2l7WJ3RER9xtqwdhxkhw/edit?usp=sharing"",""ปราจีนบุรี!J129"")"),20)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IFERROR(__xludf.DUMMYFUNCTION("IMPORTRANGE(""https://docs.google.com/spreadsheets/d/1SX6NBoVAgQJ6U1MVXOaj8PK2l7WJ3RER9xtqwdhxkhw/edit?usp=sharing"",""ปราจีนบุรี!J134"")"),0)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IFERROR(__xludf.DUMMYFUNCTION("IMPORTRANGE(""https://docs.google.com/spreadsheets/d/1SX6NBoVAgQJ6U1MVXOaj8PK2l7WJ3RER9xtqwdhxkhw/edit?usp=sharing"",""ปราจีนบุรี!J135"")"),1)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IFERROR(__xludf.DUMMYFUNCTION("IMPORTRANGE(""https://docs.google.com/spreadsheets/d/1SX6NBoVAgQJ6U1MVXOaj8PK2l7WJ3RER9xtqwdhxkhw/edit?usp=sharing"",""ปราจีนบุรี!J136"")"),1)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IFERROR(__xludf.DUMMYFUNCTION("IMPORTRANGE(""https://docs.google.com/spreadsheets/d/1SX6NBoVAgQJ6U1MVXOaj8PK2l7WJ3RER9xtqwdhxkhw/edit?usp=sharing"",""ปราจีนบุรี!J137"")"),1)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IFERROR(__xludf.DUMMYFUNCTION("IMPORTRANGE(""https://docs.google.com/spreadsheets/d/1SX6NBoVAgQJ6U1MVXOaj8PK2l7WJ3RER9xtqwdhxkhw/edit?usp=sharing"",""ปราจีนบุรี!I138"")"),20)</f>
        <v>20</v>
      </c>
      <c r="J213" s="204">
        <f ca="1">IFERROR(__xludf.DUMMYFUNCTION("IMPORTRANGE(""https://docs.google.com/spreadsheets/d/1SX6NBoVAgQJ6U1MVXOaj8PK2l7WJ3RER9xtqwdhxkhw/edit?usp=sharing"",""ปราจีนบุรี!J138"")"),20)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IFERROR(__xludf.DUMMYFUNCTION("IMPORTRANGE(""https://docs.google.com/spreadsheets/d/1SX6NBoVAgQJ6U1MVXOaj8PK2l7WJ3RER9xtqwdhxkhw/edit?usp=sharing"",""ปราจีนบุรี!I140"")"),0)</f>
        <v>0</v>
      </c>
      <c r="J215" s="204">
        <f ca="1">IFERROR(__xludf.DUMMYFUNCTION("IMPORTRANGE(""https://docs.google.com/spreadsheets/d/1SX6NBoVAgQJ6U1MVXOaj8PK2l7WJ3RER9xtqwdhxkhw/edit?usp=sharing"",""ปราจีนบุรี!J140"")"),0)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IFERROR(__xludf.DUMMYFUNCTION("IMPORTRANGE(""https://docs.google.com/spreadsheets/d/1SX6NBoVAgQJ6U1MVXOaj8PK2l7WJ3RER9xtqwdhxkhw/edit?usp=sharing"",""ปราจีนบุรี!I141"")"),1)</f>
        <v>1</v>
      </c>
      <c r="J216" s="204">
        <f ca="1">IFERROR(__xludf.DUMMYFUNCTION("IMPORTRANGE(""https://docs.google.com/spreadsheets/d/1SX6NBoVAgQJ6U1MVXOaj8PK2l7WJ3RER9xtqwdhxkhw/edit?usp=sharing"",""ปราจีนบุรี!J141"")"),0)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IFERROR(__xludf.DUMMYFUNCTION("IMPORTRANGE(""https://docs.google.com/spreadsheets/d/1SX6NBoVAgQJ6U1MVXOaj8PK2l7WJ3RER9xtqwdhxkhw/edit?usp=sharing"",""ปราจีนบุรี!J142"")"),0)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IFERROR(__xludf.DUMMYFUNCTION("IMPORTRANGE(""https://docs.google.com/spreadsheets/d/1SX6NBoVAgQJ6U1MVXOaj8PK2l7WJ3RER9xtqwdhxkhw/edit?usp=sharing"",""ปราจีนบุรี!J143"")"),0)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IFERROR(__xludf.DUMMYFUNCTION("IMPORTRANGE(""https://docs.google.com/spreadsheets/d/1SX6NBoVAgQJ6U1MVXOaj8PK2l7WJ3RER9xtqwdhxkhw/edit?usp=sharing"",""ปราจีนบุรี!I144"")"),15)</f>
        <v>15</v>
      </c>
      <c r="J219" s="268">
        <f ca="1">IFERROR(__xludf.DUMMYFUNCTION("IMPORTRANGE(""https://docs.google.com/spreadsheets/d/1SX6NBoVAgQJ6U1MVXOaj8PK2l7WJ3RER9xtqwdhxkhw/edit?usp=sharing"",""ปราจีนบุรี!J144"")"),15)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IFERROR(__xludf.DUMMYFUNCTION("IMPORTRANGE(""https://docs.google.com/spreadsheets/d/1Yj_ptqi66GCucihVvJfMjLAmec39IyEx_6qawtMGysU/edit?usp=sharing"",""สบก!BS69"")"),21125)</f>
        <v>21125</v>
      </c>
      <c r="N224" s="169">
        <f ca="1">IFERROR(__xludf.DUMMYFUNCTION("IMPORTRANGE(""https://docs.google.com/spreadsheets/d/1Yj_ptqi66GCucihVvJfMjLAmec39IyEx_6qawtMGysU/edit?usp=sharing"",""สบก!BT69"")"),21125)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IFERROR(__xludf.DUMMYFUNCTION("IMPORTRANGE(""https://docs.google.com/spreadsheets/d/1Yj_ptqi66GCucihVvJfMjLAmec39IyEx_6qawtMGysU/edit?usp=sharing"",""สบก!BQ69"")"),0)</f>
        <v>0</v>
      </c>
      <c r="M228" s="49"/>
      <c r="N228" s="49">
        <f ca="1">IFERROR(__xludf.DUMMYFUNCTION("IMPORTRANGE(""https://docs.google.com/spreadsheets/d/1Yj_ptqi66GCucihVvJfMjLAmec39IyEx_6qawtMGysU/edit?usp=sharing"",""สบก!BU69"")"),0)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IFERROR(__xludf.DUMMYFUNCTION("IMPORTRANGE(""https://docs.google.com/spreadsheets/d/1SX6NBoVAgQJ6U1MVXOaj8PK2l7WJ3RER9xtqwdhxkhw/edit?usp=sharing"",""ปราจีนบุรี!I149"")"),15)</f>
        <v>15</v>
      </c>
      <c r="J229" s="268">
        <f ca="1">IFERROR(__xludf.DUMMYFUNCTION("IMPORTRANGE(""https://docs.google.com/spreadsheets/d/1SX6NBoVAgQJ6U1MVXOaj8PK2l7WJ3RER9xtqwdhxkhw/edit?usp=sharing"",""ปราจีนบุรี!J149"")"),15)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IFERROR(__xludf.DUMMYFUNCTION("IMPORTRANGE(""https://docs.google.com/spreadsheets/d/1SX6NBoVAgQJ6U1MVXOaj8PK2l7WJ3RER9xtqwdhxkhw/edit?usp=sharing"",""ปราจีนบุรี!J151"")"),0)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IFERROR(__xludf.DUMMYFUNCTION("IMPORTRANGE(""https://docs.google.com/spreadsheets/d/1SX6NBoVAgQJ6U1MVXOaj8PK2l7WJ3RER9xtqwdhxkhw/edit?usp=sharing"",""ปราจีนบุรี!J152"")"),1)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IFERROR(__xludf.DUMMYFUNCTION("IMPORTRANGE(""https://docs.google.com/spreadsheets/d/1SX6NBoVAgQJ6U1MVXOaj8PK2l7WJ3RER9xtqwdhxkhw/edit?usp=sharing"",""ปราจีนบุรี!J153"")"),1)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IFERROR(__xludf.DUMMYFUNCTION("IMPORTRANGE(""https://docs.google.com/spreadsheets/d/1SX6NBoVAgQJ6U1MVXOaj8PK2l7WJ3RER9xtqwdhxkhw/edit?usp=sharing"",""ปราจีนบุรี!J154"")"),1)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IFERROR(__xludf.DUMMYFUNCTION("IMPORTRANGE(""https://docs.google.com/spreadsheets/d/1SX6NBoVAgQJ6U1MVXOaj8PK2l7WJ3RER9xtqwdhxkhw/edit?usp=sharing"",""ปราจีนบุรี!I155"")"),15)</f>
        <v>15</v>
      </c>
      <c r="J235" s="189">
        <f ca="1">IFERROR(__xludf.DUMMYFUNCTION("IMPORTRANGE(""https://docs.google.com/spreadsheets/d/1SX6NBoVAgQJ6U1MVXOaj8PK2l7WJ3RER9xtqwdhxkhw/edit?usp=sharing"",""ปราจีนบุรี!J155"")"),15)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IFERROR(__xludf.DUMMYFUNCTION("IMPORTRANGE(""https://docs.google.com/spreadsheets/d/1SX6NBoVAgQJ6U1MVXOaj8PK2l7WJ3RER9xtqwdhxkhw/edit?usp=sharing"",""ปราจีนบุรี!J156"")"),0)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IFERROR(__xludf.DUMMYFUNCTION("IMPORTRANGE(""https://docs.google.com/spreadsheets/d/1SX6NBoVAgQJ6U1MVXOaj8PK2l7WJ3RER9xtqwdhxkhw/edit?usp=sharing"",""ปราจีนบุรี!J157"")"),0)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IFERROR(__xludf.DUMMYFUNCTION("IMPORTRANGE(""https://docs.google.com/spreadsheets/d/1SX6NBoVAgQJ6U1MVXOaj8PK2l7WJ3RER9xtqwdhxkhw/edit?usp=sharing"",""ปราจีนบุรี!I158"")"),0)</f>
        <v>0</v>
      </c>
      <c r="J238" s="268">
        <f ca="1">IFERROR(__xludf.DUMMYFUNCTION("IMPORTRANGE(""https://docs.google.com/spreadsheets/d/1SX6NBoVAgQJ6U1MVXOaj8PK2l7WJ3RER9xtqwdhxkhw/edit?usp=sharing"",""ปราจีนบุรี!J158"")"),0)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IFERROR(__xludf.DUMMYFUNCTION("IMPORTRANGE(""https://docs.google.com/spreadsheets/d/1SX6NBoVAgQJ6U1MVXOaj8PK2l7WJ3RER9xtqwdhxkhw/edit?usp=sharing"",""ปราจีนบุรี!J159"")"),"")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IFERROR(__xludf.DUMMYFUNCTION("IMPORTRANGE(""https://docs.google.com/spreadsheets/d/1SX6NBoVAgQJ6U1MVXOaj8PK2l7WJ3RER9xtqwdhxkhw/edit?usp=sharing"",""ปราจีนบุรี!J161"")"),0)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IFERROR(__xludf.DUMMYFUNCTION("IMPORTRANGE(""https://docs.google.com/spreadsheets/d/1SX6NBoVAgQJ6U1MVXOaj8PK2l7WJ3RER9xtqwdhxkhw/edit?usp=sharing"",""ปราจีนบุรี!J162"")"),0)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IFERROR(__xludf.DUMMYFUNCTION("IMPORTRANGE(""https://docs.google.com/spreadsheets/d/1SX6NBoVAgQJ6U1MVXOaj8PK2l7WJ3RER9xtqwdhxkhw/edit?usp=sharing"",""ปราจีนบุรี!J163"")"),0)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IFERROR(__xludf.DUMMYFUNCTION("IMPORTRANGE(""https://docs.google.com/spreadsheets/d/1SX6NBoVAgQJ6U1MVXOaj8PK2l7WJ3RER9xtqwdhxkhw/edit?usp=sharing"",""ปราจีนบุรี!I164"")"),0)</f>
        <v>0</v>
      </c>
      <c r="J244" s="188">
        <f ca="1">IFERROR(__xludf.DUMMYFUNCTION("IMPORTRANGE(""https://docs.google.com/spreadsheets/d/1SX6NBoVAgQJ6U1MVXOaj8PK2l7WJ3RER9xtqwdhxkhw/edit?usp=sharing"",""ปราจีนบุรี!J164"")"),0)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IFERROR(__xludf.DUMMYFUNCTION("IMPORTRANGE(""https://docs.google.com/spreadsheets/d/1SX6NBoVAgQJ6U1MVXOaj8PK2l7WJ3RER9xtqwdhxkhw/edit?usp=sharing"",""ปราจีนบุรี!J165"")"),0)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IFERROR(__xludf.DUMMYFUNCTION("IMPORTRANGE(""https://docs.google.com/spreadsheets/d/1SX6NBoVAgQJ6U1MVXOaj8PK2l7WJ3RER9xtqwdhxkhw/edit?usp=sharing"",""ปราจีนบุรี!J166"")"),0)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IFERROR(__xludf.DUMMYFUNCTION("IMPORTRANGE(""https://docs.google.com/spreadsheets/d/1SX6NBoVAgQJ6U1MVXOaj8PK2l7WJ3RER9xtqwdhxkhw/edit?usp=sharing"",""ปราจีนบุรี!I169"")"),20)</f>
        <v>20</v>
      </c>
      <c r="J249" s="317">
        <f ca="1">IFERROR(__xludf.DUMMYFUNCTION("IMPORTRANGE(""https://docs.google.com/spreadsheets/d/1SX6NBoVAgQJ6U1MVXOaj8PK2l7WJ3RER9xtqwdhxkhw/edit?usp=sharing"",""ปราจีนบุรี!J169"")"),20)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61660</v>
      </c>
      <c r="O250" s="151">
        <f t="shared" ref="O250:O252" ca="1" si="78">IF(L250&gt;0,N250*100/L250,0)</f>
        <v>86.358543417366946</v>
      </c>
      <c r="P250" s="151">
        <f t="shared" ref="P250:P252" ca="1" si="79">IF(M250&gt;0,N250*100/M250,0)</f>
        <v>86.358543417366946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61660</v>
      </c>
      <c r="O252" s="156">
        <f t="shared" ca="1" si="78"/>
        <v>86.358543417366946</v>
      </c>
      <c r="P252" s="156">
        <f t="shared" ca="1" si="79"/>
        <v>86.358543417366946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IFERROR(__xludf.DUMMYFUNCTION("IMPORTRANGE(""https://docs.google.com/spreadsheets/d/1Yj_ptqi66GCucihVvJfMjLAmec39IyEx_6qawtMGysU/edit?usp=sharing"",""สบก!CB69"")"),71400)</f>
        <v>71400</v>
      </c>
      <c r="N254" s="169">
        <f ca="1">IFERROR(__xludf.DUMMYFUNCTION("IMPORTRANGE(""https://docs.google.com/spreadsheets/d/1Yj_ptqi66GCucihVvJfMjLAmec39IyEx_6qawtMGysU/edit?usp=sharing"",""สบก!CC69"")"),61660)</f>
        <v>61660</v>
      </c>
      <c r="O254" s="169">
        <f ca="1">IF(L254&gt;0,N254*100/L254,0)</f>
        <v>86.358543417366946</v>
      </c>
      <c r="P254" s="169">
        <f ca="1">IF(M254&gt;0,N254*100/M254,0)</f>
        <v>86.358543417366946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IFERROR(__xludf.DUMMYFUNCTION("IMPORTRANGE(""https://docs.google.com/spreadsheets/d/1Yj_ptqi66GCucihVvJfMjLAmec39IyEx_6qawtMGysU/edit?usp=sharing"",""สบก!BZ69"")"),0)</f>
        <v>0</v>
      </c>
      <c r="M258" s="49"/>
      <c r="N258" s="49">
        <f ca="1">IFERROR(__xludf.DUMMYFUNCTION("IMPORTRANGE(""https://docs.google.com/spreadsheets/d/1Yj_ptqi66GCucihVvJfMjLAmec39IyEx_6qawtMGysU/edit?usp=sharing"",""สบก!CD69"")"),0)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IFERROR(__xludf.DUMMYFUNCTION("IMPORTRANGE(""https://docs.google.com/spreadsheets/d/1SX6NBoVAgQJ6U1MVXOaj8PK2l7WJ3RER9xtqwdhxkhw/edit?usp=sharing"",""ปราจีนบุรี!J175"")"),0)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IFERROR(__xludf.DUMMYFUNCTION("IMPORTRANGE(""https://docs.google.com/spreadsheets/d/1SX6NBoVAgQJ6U1MVXOaj8PK2l7WJ3RER9xtqwdhxkhw/edit?usp=sharing"",""ปราจีนบุรี!J176"")"),1)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IFERROR(__xludf.DUMMYFUNCTION("IMPORTRANGE(""https://docs.google.com/spreadsheets/d/1SX6NBoVAgQJ6U1MVXOaj8PK2l7WJ3RER9xtqwdhxkhw/edit?usp=sharing"",""ปราจีนบุรี!J177"")"),1)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IFERROR(__xludf.DUMMYFUNCTION("IMPORTRANGE(""https://docs.google.com/spreadsheets/d/1SX6NBoVAgQJ6U1MVXOaj8PK2l7WJ3RER9xtqwdhxkhw/edit?usp=sharing"",""ปราจีนบุรี!J178"")"),1)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IFERROR(__xludf.DUMMYFUNCTION("IMPORTRANGE(""https://docs.google.com/spreadsheets/d/1SX6NBoVAgQJ6U1MVXOaj8PK2l7WJ3RER9xtqwdhxkhw/edit?usp=sharing"",""ปราจีนบุรี!I179"")"),1)</f>
        <v>1</v>
      </c>
      <c r="J264" s="189">
        <f ca="1">IFERROR(__xludf.DUMMYFUNCTION("IMPORTRANGE(""https://docs.google.com/spreadsheets/d/1SX6NBoVAgQJ6U1MVXOaj8PK2l7WJ3RER9xtqwdhxkhw/edit?usp=sharing"",""ปราจีนบุรี!J179"")"),1)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IFERROR(__xludf.DUMMYFUNCTION("IMPORTRANGE(""https://docs.google.com/spreadsheets/d/1SX6NBoVAgQJ6U1MVXOaj8PK2l7WJ3RER9xtqwdhxkhw/edit?usp=sharing"",""ปราจีนบุรี!I180"")"),20)</f>
        <v>20</v>
      </c>
      <c r="J265" s="189">
        <f ca="1">IFERROR(__xludf.DUMMYFUNCTION("IMPORTRANGE(""https://docs.google.com/spreadsheets/d/1SX6NBoVAgQJ6U1MVXOaj8PK2l7WJ3RER9xtqwdhxkhw/edit?usp=sharing"",""ปราจีนบุรี!J180"")"),20)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IFERROR(__xludf.DUMMYFUNCTION("IMPORTRANGE(""https://docs.google.com/spreadsheets/d/1SX6NBoVAgQJ6U1MVXOaj8PK2l7WJ3RER9xtqwdhxkhw/edit?usp=sharing"",""ปราจีนบุรี!I181"")"),20)</f>
        <v>20</v>
      </c>
      <c r="J266" s="189">
        <f ca="1">IFERROR(__xludf.DUMMYFUNCTION("IMPORTRANGE(""https://docs.google.com/spreadsheets/d/1SX6NBoVAgQJ6U1MVXOaj8PK2l7WJ3RER9xtqwdhxkhw/edit?usp=sharing"",""ปราจีนบุรี!J181"")"),0)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IFERROR(__xludf.DUMMYFUNCTION("IMPORTRANGE(""https://docs.google.com/spreadsheets/d/1SX6NBoVAgQJ6U1MVXOaj8PK2l7WJ3RER9xtqwdhxkhw/edit?usp=sharing"",""ปราจีนบุรี!I182"")"),1)</f>
        <v>1</v>
      </c>
      <c r="J267" s="189">
        <f ca="1">IFERROR(__xludf.DUMMYFUNCTION("IMPORTRANGE(""https://docs.google.com/spreadsheets/d/1SX6NBoVAgQJ6U1MVXOaj8PK2l7WJ3RER9xtqwdhxkhw/edit?usp=sharing"",""ปราจีนบุรี!J182"")"),0)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IFERROR(__xludf.DUMMYFUNCTION("IMPORTRANGE(""https://docs.google.com/spreadsheets/d/1SX6NBoVAgQJ6U1MVXOaj8PK2l7WJ3RER9xtqwdhxkhw/edit?usp=sharing"",""ปราจีนบุรี!J183"")"),0)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IFERROR(__xludf.DUMMYFUNCTION("IMPORTRANGE(""https://docs.google.com/spreadsheets/d/1SX6NBoVAgQJ6U1MVXOaj8PK2l7WJ3RER9xtqwdhxkhw/edit?usp=sharing"",""ปราจีนบุรี!J184"")"),0)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IFERROR(__xludf.DUMMYFUNCTION("IMPORTRANGE(""https://docs.google.com/spreadsheets/d/1SX6NBoVAgQJ6U1MVXOaj8PK2l7WJ3RER9xtqwdhxkhw/edit?usp=sharing"",""ปราจีนบุรี!I185"")"),0)</f>
        <v>0</v>
      </c>
      <c r="J270" s="317">
        <f ca="1">IFERROR(__xludf.DUMMYFUNCTION("IMPORTRANGE(""https://docs.google.com/spreadsheets/d/1SX6NBoVAgQJ6U1MVXOaj8PK2l7WJ3RER9xtqwdhxkhw/edit?usp=sharing"",""ปราจีนบุรี!J185"")"),0)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IFERROR(__xludf.DUMMYFUNCTION("IMPORTRANGE(""https://docs.google.com/spreadsheets/d/1Yj_ptqi66GCucihVvJfMjLAmec39IyEx_6qawtMGysU/edit?usp=sharing"",""สบก!CK69"")"),0)</f>
        <v>0</v>
      </c>
      <c r="N275" s="169">
        <f ca="1">IFERROR(__xludf.DUMMYFUNCTION("IMPORTRANGE(""https://docs.google.com/spreadsheets/d/1Yj_ptqi66GCucihVvJfMjLAmec39IyEx_6qawtMGysU/edit?usp=sharing"",""สบก!CL69"")"),0)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IFERROR(__xludf.DUMMYFUNCTION("IMPORTRANGE(""https://docs.google.com/spreadsheets/d/1Yj_ptqi66GCucihVvJfMjLAmec39IyEx_6qawtMGysU/edit?usp=sharing"",""สบก!CI69"")"),0)</f>
        <v>0</v>
      </c>
      <c r="M279" s="49"/>
      <c r="N279" s="49">
        <f ca="1">IFERROR(__xludf.DUMMYFUNCTION("IMPORTRANGE(""https://docs.google.com/spreadsheets/d/1Yj_ptqi66GCucihVvJfMjLAmec39IyEx_6qawtMGysU/edit?usp=sharing"",""สบก!CM69"")"),0)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IFERROR(__xludf.DUMMYFUNCTION("IMPORTRANGE(""https://docs.google.com/spreadsheets/d/1SX6NBoVAgQJ6U1MVXOaj8PK2l7WJ3RER9xtqwdhxkhw/edit?usp=sharing"",""ปราจีนบุรี!J191"")"),0)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IFERROR(__xludf.DUMMYFUNCTION("IMPORTRANGE(""https://docs.google.com/spreadsheets/d/1SX6NBoVAgQJ6U1MVXOaj8PK2l7WJ3RER9xtqwdhxkhw/edit?usp=sharing"",""ปราจีนบุรี!J192"")"),0)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IFERROR(__xludf.DUMMYFUNCTION("IMPORTRANGE(""https://docs.google.com/spreadsheets/d/1SX6NBoVAgQJ6U1MVXOaj8PK2l7WJ3RER9xtqwdhxkhw/edit?usp=sharing"",""ปราจีนบุรี!J193"")"),0)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IFERROR(__xludf.DUMMYFUNCTION("IMPORTRANGE(""https://docs.google.com/spreadsheets/d/1SX6NBoVAgQJ6U1MVXOaj8PK2l7WJ3RER9xtqwdhxkhw/edit?usp=sharing"",""ปราจีนบุรี!J194"")"),0)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IFERROR(__xludf.DUMMYFUNCTION("IMPORTRANGE(""https://docs.google.com/spreadsheets/d/1SX6NBoVAgQJ6U1MVXOaj8PK2l7WJ3RER9xtqwdhxkhw/edit?usp=sharing"",""ปราจีนบุรี!I195"")"),0)</f>
        <v>0</v>
      </c>
      <c r="J285" s="189">
        <f ca="1">IFERROR(__xludf.DUMMYFUNCTION("IMPORTRANGE(""https://docs.google.com/spreadsheets/d/1SX6NBoVAgQJ6U1MVXOaj8PK2l7WJ3RER9xtqwdhxkhw/edit?usp=sharing"",""ปราจีนบุรี!J195"")"),0)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IFERROR(__xludf.DUMMYFUNCTION("IMPORTRANGE(""https://docs.google.com/spreadsheets/d/1SX6NBoVAgQJ6U1MVXOaj8PK2l7WJ3RER9xtqwdhxkhw/edit?usp=sharing"",""ปราจีนบุรี!J196"")"),0)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IFERROR(__xludf.DUMMYFUNCTION("IMPORTRANGE(""https://docs.google.com/spreadsheets/d/1SX6NBoVAgQJ6U1MVXOaj8PK2l7WJ3RER9xtqwdhxkhw/edit?usp=sharing"",""ปราจีนบุรี!J197"")"),0)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IFERROR(__xludf.DUMMYFUNCTION("IMPORTRANGE(""https://docs.google.com/spreadsheets/d/1SX6NBoVAgQJ6U1MVXOaj8PK2l7WJ3RER9xtqwdhxkhw/edit?usp=sharing"",""ปราจีนบุรี!I199"")"),0)</f>
        <v>0</v>
      </c>
      <c r="J289" s="317">
        <f ca="1">IFERROR(__xludf.DUMMYFUNCTION("IMPORTRANGE(""https://docs.google.com/spreadsheets/d/1SX6NBoVAgQJ6U1MVXOaj8PK2l7WJ3RER9xtqwdhxkhw/edit?usp=sharing"",""ปราจีนบุรี!J199"")"),0)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IFERROR(__xludf.DUMMYFUNCTION("IMPORTRANGE(""https://docs.google.com/spreadsheets/d/1Yj_ptqi66GCucihVvJfMjLAmec39IyEx_6qawtMGysU/edit?usp=sharing"",""สบก!CT69"")"),0)</f>
        <v>0</v>
      </c>
      <c r="N294" s="169">
        <f ca="1">IFERROR(__xludf.DUMMYFUNCTION("IMPORTRANGE(""https://docs.google.com/spreadsheets/d/1Yj_ptqi66GCucihVvJfMjLAmec39IyEx_6qawtMGysU/edit?usp=sharing"",""สบก!CU69"")"),0)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IFERROR(__xludf.DUMMYFUNCTION("IMPORTRANGE(""https://docs.google.com/spreadsheets/d/1Yj_ptqi66GCucihVvJfMjLAmec39IyEx_6qawtMGysU/edit?usp=sharing"",""สบก!CR69"")"),0)</f>
        <v>0</v>
      </c>
      <c r="M298" s="49"/>
      <c r="N298" s="49">
        <f ca="1">IFERROR(__xludf.DUMMYFUNCTION("IMPORTRANGE(""https://docs.google.com/spreadsheets/d/1Yj_ptqi66GCucihVvJfMjLAmec39IyEx_6qawtMGysU/edit?usp=sharing"",""สบก!CV69"")"),0)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IFERROR(__xludf.DUMMYFUNCTION("IMPORTRANGE(""https://docs.google.com/spreadsheets/d/1SX6NBoVAgQJ6U1MVXOaj8PK2l7WJ3RER9xtqwdhxkhw/edit?usp=sharing"",""ปราจีนบุรี!J205"")"),0)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IFERROR(__xludf.DUMMYFUNCTION("IMPORTRANGE(""https://docs.google.com/spreadsheets/d/1SX6NBoVAgQJ6U1MVXOaj8PK2l7WJ3RER9xtqwdhxkhw/edit?usp=sharing"",""ปราจีนบุรี!J206"")"),0)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IFERROR(__xludf.DUMMYFUNCTION("IMPORTRANGE(""https://docs.google.com/spreadsheets/d/1SX6NBoVAgQJ6U1MVXOaj8PK2l7WJ3RER9xtqwdhxkhw/edit?usp=sharing"",""ปราจีนบุรี!J207"")"),0)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IFERROR(__xludf.DUMMYFUNCTION("IMPORTRANGE(""https://docs.google.com/spreadsheets/d/1SX6NBoVAgQJ6U1MVXOaj8PK2l7WJ3RER9xtqwdhxkhw/edit?usp=sharing"",""ปราจีนบุรี!J208"")"),0)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IFERROR(__xludf.DUMMYFUNCTION("IMPORTRANGE(""https://docs.google.com/spreadsheets/d/1SX6NBoVAgQJ6U1MVXOaj8PK2l7WJ3RER9xtqwdhxkhw/edit?usp=sharing"",""ปราจีนบุรี!I209"")"),0)</f>
        <v>0</v>
      </c>
      <c r="J304" s="204">
        <f ca="1">IFERROR(__xludf.DUMMYFUNCTION("IMPORTRANGE(""https://docs.google.com/spreadsheets/d/1SX6NBoVAgQJ6U1MVXOaj8PK2l7WJ3RER9xtqwdhxkhw/edit?usp=sharing"",""ปราจีนบุรี!J209"")"),0)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IFERROR(__xludf.DUMMYFUNCTION("IMPORTRANGE(""https://docs.google.com/spreadsheets/d/1SX6NBoVAgQJ6U1MVXOaj8PK2l7WJ3RER9xtqwdhxkhw/edit?usp=sharing"",""ปราจีนบุรี!I211"")"),0)</f>
        <v>0</v>
      </c>
      <c r="J306" s="204">
        <f ca="1">IFERROR(__xludf.DUMMYFUNCTION("IMPORTRANGE(""https://docs.google.com/spreadsheets/d/1SX6NBoVAgQJ6U1MVXOaj8PK2l7WJ3RER9xtqwdhxkhw/edit?usp=sharing"",""ปราจีนบุรี!J211"")"),0)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IFERROR(__xludf.DUMMYFUNCTION("IMPORTRANGE(""https://docs.google.com/spreadsheets/d/1SX6NBoVAgQJ6U1MVXOaj8PK2l7WJ3RER9xtqwdhxkhw/edit?usp=sharing"",""ปราจีนบุรี!J212"")"),0)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IFERROR(__xludf.DUMMYFUNCTION("IMPORTRANGE(""https://docs.google.com/spreadsheets/d/1SX6NBoVAgQJ6U1MVXOaj8PK2l7WJ3RER9xtqwdhxkhw/edit?usp=sharing"",""ปราจีนบุรี!J213"")"),0)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IFERROR(__xludf.DUMMYFUNCTION("IMPORTRANGE(""https://docs.google.com/spreadsheets/d/1SX6NBoVAgQJ6U1MVXOaj8PK2l7WJ3RER9xtqwdhxkhw/edit?usp=sharing"",""ปราจีนบุรี!I214"")"),0)</f>
        <v>0</v>
      </c>
      <c r="J309" s="334">
        <f ca="1">IFERROR(__xludf.DUMMYFUNCTION("IMPORTRANGE(""https://docs.google.com/spreadsheets/d/1SX6NBoVAgQJ6U1MVXOaj8PK2l7WJ3RER9xtqwdhxkhw/edit?usp=sharing"",""ปราจีนบุรี!J214"")"),0)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IFERROR(__xludf.DUMMYFUNCTION("IMPORTRANGE(""https://docs.google.com/spreadsheets/d/1Yj_ptqi66GCucihVvJfMjLAmec39IyEx_6qawtMGysU/edit?usp=sharing"",""สบก!DC69"")"),0)</f>
        <v>0</v>
      </c>
      <c r="N314" s="169">
        <f ca="1">IFERROR(__xludf.DUMMYFUNCTION("IMPORTRANGE(""https://docs.google.com/spreadsheets/d/1Yj_ptqi66GCucihVvJfMjLAmec39IyEx_6qawtMGysU/edit?usp=sharing"",""สบก!DD69"")"),0)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IFERROR(__xludf.DUMMYFUNCTION("IMPORTRANGE(""https://docs.google.com/spreadsheets/d/1Yj_ptqi66GCucihVvJfMjLAmec39IyEx_6qawtMGysU/edit?usp=sharing"",""สบก!DA69"")"),0)</f>
        <v>0</v>
      </c>
      <c r="M318" s="49"/>
      <c r="N318" s="49">
        <f ca="1">IFERROR(__xludf.DUMMYFUNCTION("IMPORTRANGE(""https://docs.google.com/spreadsheets/d/1Yj_ptqi66GCucihVvJfMjLAmec39IyEx_6qawtMGysU/edit?usp=sharing"",""สบก!DE69"")"),0)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IFERROR(__xludf.DUMMYFUNCTION("IMPORTRANGE(""https://docs.google.com/spreadsheets/d/1SX6NBoVAgQJ6U1MVXOaj8PK2l7WJ3RER9xtqwdhxkhw/edit?usp=sharing"",""ปราจีนบุรี!J220"")"),0)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IFERROR(__xludf.DUMMYFUNCTION("IMPORTRANGE(""https://docs.google.com/spreadsheets/d/1SX6NBoVAgQJ6U1MVXOaj8PK2l7WJ3RER9xtqwdhxkhw/edit?usp=sharing"",""ปราจีนบุรี!J221"")"),0)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IFERROR(__xludf.DUMMYFUNCTION("IMPORTRANGE(""https://docs.google.com/spreadsheets/d/1SX6NBoVAgQJ6U1MVXOaj8PK2l7WJ3RER9xtqwdhxkhw/edit?usp=sharing"",""ปราจีนบุรี!J222"")"),0)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IFERROR(__xludf.DUMMYFUNCTION("IMPORTRANGE(""https://docs.google.com/spreadsheets/d/1SX6NBoVAgQJ6U1MVXOaj8PK2l7WJ3RER9xtqwdhxkhw/edit?usp=sharing"",""ปราจีนบุรี!J223"")"),0)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IFERROR(__xludf.DUMMYFUNCTION("IMPORTRANGE(""https://docs.google.com/spreadsheets/d/1SX6NBoVAgQJ6U1MVXOaj8PK2l7WJ3RER9xtqwdhxkhw/edit?usp=sharing"",""ปราจีนบุรี!I224"")"),0)</f>
        <v>0</v>
      </c>
      <c r="J324" s="204">
        <f ca="1">IFERROR(__xludf.DUMMYFUNCTION("IMPORTRANGE(""https://docs.google.com/spreadsheets/d/1SX6NBoVAgQJ6U1MVXOaj8PK2l7WJ3RER9xtqwdhxkhw/edit?usp=sharing"",""ปราจีนบุรี!J224"")"),0)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IFERROR(__xludf.DUMMYFUNCTION("IMPORTRANGE(""https://docs.google.com/spreadsheets/d/1SX6NBoVAgQJ6U1MVXOaj8PK2l7WJ3RER9xtqwdhxkhw/edit?usp=sharing"",""ปราจีนบุรี!J225"")"),0)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IFERROR(__xludf.DUMMYFUNCTION("IMPORTRANGE(""https://docs.google.com/spreadsheets/d/1SX6NBoVAgQJ6U1MVXOaj8PK2l7WJ3RER9xtqwdhxkhw/edit?usp=sharing"",""ปราจีนบุรี!J226"")"),0)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IFERROR(__xludf.DUMMYFUNCTION("IMPORTRANGE(""https://docs.google.com/spreadsheets/d/1SX6NBoVAgQJ6U1MVXOaj8PK2l7WJ3RER9xtqwdhxkhw/edit?usp=sharing"",""ปราจีนบุรี!I228"")"),95)</f>
        <v>95</v>
      </c>
      <c r="J328" s="340">
        <f ca="1">IFERROR(__xludf.DUMMYFUNCTION("IMPORTRANGE(""https://docs.google.com/spreadsheets/d/1SX6NBoVAgQJ6U1MVXOaj8PK2l7WJ3RER9xtqwdhxkhw/edit?usp=sharing"",""ปราจีนบุรี!J228"")"),88)</f>
        <v>88</v>
      </c>
      <c r="K328" s="318">
        <f ca="1">IF(I328&gt;0,J328*100/I328,0)</f>
        <v>92.631578947368425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880650</v>
      </c>
      <c r="M329" s="152">
        <f t="shared" ca="1" si="98"/>
        <v>991150</v>
      </c>
      <c r="N329" s="152">
        <f t="shared" ca="1" si="98"/>
        <v>652900.69999999995</v>
      </c>
      <c r="O329" s="151">
        <f t="shared" ref="O329:O331" ca="1" si="99">IF(L329&gt;0,N329*100/L329,0)</f>
        <v>74.138499971611864</v>
      </c>
      <c r="P329" s="151">
        <f t="shared" ref="P329:P331" ca="1" si="100">IF(M329&gt;0,N329*100/M329,0)</f>
        <v>65.873046461181445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880650</v>
      </c>
      <c r="M331" s="157">
        <f t="shared" ca="1" si="102"/>
        <v>991150</v>
      </c>
      <c r="N331" s="157">
        <f t="shared" ca="1" si="102"/>
        <v>652900.69999999995</v>
      </c>
      <c r="O331" s="156">
        <f t="shared" ca="1" si="99"/>
        <v>74.138499971611864</v>
      </c>
      <c r="P331" s="156">
        <f t="shared" ca="1" si="100"/>
        <v>65.873046461181445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880650</v>
      </c>
      <c r="M333" s="168">
        <f ca="1">IFERROR(__xludf.DUMMYFUNCTION("IMPORTRANGE(""https://docs.google.com/spreadsheets/d/1Yj_ptqi66GCucihVvJfMjLAmec39IyEx_6qawtMGysU/edit?usp=sharing"",""สบก!DL69"")"),991150)</f>
        <v>991150</v>
      </c>
      <c r="N333" s="169">
        <f ca="1">IFERROR(__xludf.DUMMYFUNCTION("IMPORTRANGE(""https://docs.google.com/spreadsheets/d/1Yj_ptqi66GCucihVvJfMjLAmec39IyEx_6qawtMGysU/edit?usp=sharing"",""สบก!DM69"")"),652900.7)</f>
        <v>652900.69999999995</v>
      </c>
      <c r="O333" s="169">
        <f ca="1">IF(L333&gt;0,N333*100/L333,0)</f>
        <v>74.138499971611864</v>
      </c>
      <c r="P333" s="169">
        <f ca="1">IF(M333&gt;0,N333*100/M333,0)</f>
        <v>65.873046461181445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IFERROR(__xludf.DUMMYFUNCTION("IMPORTRANGE(""https://docs.google.com/spreadsheets/d/1Yj_ptqi66GCucihVvJfMjLAmec39IyEx_6qawtMGysU/edit?usp=sharing"",""สบก!DH69"")"),583200)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IFERROR(__xludf.DUMMYFUNCTION("IMPORTRANGE(""https://docs.google.com/spreadsheets/d/1Yj_ptqi66GCucihVvJfMjLAmec39IyEx_6qawtMGysU/edit?usp=sharing"",""สบก!DI69"")"),297450)</f>
        <v>297450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IFERROR(__xludf.DUMMYFUNCTION("IMPORTRANGE(""https://docs.google.com/spreadsheets/d/1Yj_ptqi66GCucihVvJfMjLAmec39IyEx_6qawtMGysU/edit?usp=sharing"",""สบก!DJ69"")"),0)</f>
        <v>0</v>
      </c>
      <c r="M337" s="49"/>
      <c r="N337" s="49">
        <f ca="1">IFERROR(__xludf.DUMMYFUNCTION("IMPORTRANGE(""https://docs.google.com/spreadsheets/d/1Yj_ptqi66GCucihVvJfMjLAmec39IyEx_6qawtMGysU/edit?usp=sharing"",""สบก!DN69"")"),0)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IFERROR(__xludf.DUMMYFUNCTION("IMPORTRANGE(""https://docs.google.com/spreadsheets/d/1SX6NBoVAgQJ6U1MVXOaj8PK2l7WJ3RER9xtqwdhxkhw/edit?usp=sharing"",""ปราจีนบุรี!I234"")"),0)</f>
        <v>0</v>
      </c>
      <c r="J339" s="188">
        <f ca="1">IFERROR(__xludf.DUMMYFUNCTION("IMPORTRANGE(""https://docs.google.com/spreadsheets/d/1SX6NBoVAgQJ6U1MVXOaj8PK2l7WJ3RER9xtqwdhxkhw/edit?usp=sharing"",""ปราจีนบุรี!J234"")"),119)</f>
        <v>119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IFERROR(__xludf.DUMMYFUNCTION("IMPORTRANGE(""https://docs.google.com/spreadsheets/d/1SX6NBoVAgQJ6U1MVXOaj8PK2l7WJ3RER9xtqwdhxkhw/edit?usp=sharing"",""ปราจีนบุรี!I235"")"),1400)</f>
        <v>1400</v>
      </c>
      <c r="J340" s="188">
        <f ca="1">IFERROR(__xludf.DUMMYFUNCTION("IMPORTRANGE(""https://docs.google.com/spreadsheets/d/1SX6NBoVAgQJ6U1MVXOaj8PK2l7WJ3RER9xtqwdhxkhw/edit?usp=sharing"",""ปราจีนบุรี!J235"")"),1363.32)</f>
        <v>1363.32</v>
      </c>
      <c r="K340" s="343">
        <f t="shared" ca="1" si="103"/>
        <v>97.38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IFERROR(__xludf.DUMMYFUNCTION("IMPORTRANGE(""https://docs.google.com/spreadsheets/d/1SX6NBoVAgQJ6U1MVXOaj8PK2l7WJ3RER9xtqwdhxkhw/edit?usp=sharing"",""ปราจีนบุรี!I236"")"),95)</f>
        <v>95</v>
      </c>
      <c r="J341" s="188">
        <f ca="1">IFERROR(__xludf.DUMMYFUNCTION("IMPORTRANGE(""https://docs.google.com/spreadsheets/d/1SX6NBoVAgQJ6U1MVXOaj8PK2l7WJ3RER9xtqwdhxkhw/edit?usp=sharing"",""ปราจีนบุรี!J236"")"),115)</f>
        <v>115</v>
      </c>
      <c r="K341" s="343">
        <f t="shared" ca="1" si="103"/>
        <v>121.05263157894737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IFERROR(__xludf.DUMMYFUNCTION("IMPORTRANGE(""https://docs.google.com/spreadsheets/d/1SX6NBoVAgQJ6U1MVXOaj8PK2l7WJ3RER9xtqwdhxkhw/edit?usp=sharing"",""ปราจีนบุรี!I237"")"),0)</f>
        <v>0</v>
      </c>
      <c r="J342" s="188">
        <f ca="1">IFERROR(__xludf.DUMMYFUNCTION("IMPORTRANGE(""https://docs.google.com/spreadsheets/d/1SX6NBoVAgQJ6U1MVXOaj8PK2l7WJ3RER9xtqwdhxkhw/edit?usp=sharing"",""ปราจีนบุรี!J237"")"),1836.4)</f>
        <v>1836.4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IFERROR(__xludf.DUMMYFUNCTION("IMPORTRANGE(""https://docs.google.com/spreadsheets/d/1SX6NBoVAgQJ6U1MVXOaj8PK2l7WJ3RER9xtqwdhxkhw/edit?usp=sharing"",""ปราจีนบุรี!I238"")"),95)</f>
        <v>95</v>
      </c>
      <c r="J343" s="188">
        <f ca="1">IFERROR(__xludf.DUMMYFUNCTION("IMPORTRANGE(""https://docs.google.com/spreadsheets/d/1SX6NBoVAgQJ6U1MVXOaj8PK2l7WJ3RER9xtqwdhxkhw/edit?usp=sharing"",""ปราจีนบุรี!J238"")"),0)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IFERROR(__xludf.DUMMYFUNCTION("IMPORTRANGE(""https://docs.google.com/spreadsheets/d/1SX6NBoVAgQJ6U1MVXOaj8PK2l7WJ3RER9xtqwdhxkhw/edit?usp=sharing"",""ปราจีนบุรี!I239"")"),0)</f>
        <v>0</v>
      </c>
      <c r="J344" s="188">
        <f ca="1">IFERROR(__xludf.DUMMYFUNCTION("IMPORTRANGE(""https://docs.google.com/spreadsheets/d/1SX6NBoVAgQJ6U1MVXOaj8PK2l7WJ3RER9xtqwdhxkhw/edit?usp=sharing"",""ปราจีนบุรี!J239"")"),0)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IFERROR(__xludf.DUMMYFUNCTION("IMPORTRANGE(""https://docs.google.com/spreadsheets/d/1SX6NBoVAgQJ6U1MVXOaj8PK2l7WJ3RER9xtqwdhxkhw/edit?usp=sharing"",""ปราจีนบุรี!I240"")"),95)</f>
        <v>95</v>
      </c>
      <c r="J345" s="188">
        <f ca="1">IFERROR(__xludf.DUMMYFUNCTION("IMPORTRANGE(""https://docs.google.com/spreadsheets/d/1SX6NBoVAgQJ6U1MVXOaj8PK2l7WJ3RER9xtqwdhxkhw/edit?usp=sharing"",""ปราจีนบุรี!J240"")"),88)</f>
        <v>88</v>
      </c>
      <c r="K345" s="343">
        <f t="shared" ca="1" si="103"/>
        <v>92.631578947368425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IFERROR(__xludf.DUMMYFUNCTION("IMPORTRANGE(""https://docs.google.com/spreadsheets/d/1SX6NBoVAgQJ6U1MVXOaj8PK2l7WJ3RER9xtqwdhxkhw/edit?usp=sharing"",""ปราจีนบุรี!I241"")"),0)</f>
        <v>0</v>
      </c>
      <c r="J346" s="188">
        <f ca="1">IFERROR(__xludf.DUMMYFUNCTION("IMPORTRANGE(""https://docs.google.com/spreadsheets/d/1SX6NBoVAgQJ6U1MVXOaj8PK2l7WJ3RER9xtqwdhxkhw/edit?usp=sharing"",""ปราจีนบุรี!J241"")"),1534.63999999999)</f>
        <v>1534.6399999999901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IFERROR(__xludf.DUMMYFUNCTION("IMPORTRANGE(""https://docs.google.com/spreadsheets/d/1SX6NBoVAgQJ6U1MVXOaj8PK2l7WJ3RER9xtqwdhxkhw/edit?usp=sharing"",""ปราจีนบุรี!L242"")"),862226)</f>
        <v>862226</v>
      </c>
      <c r="M347" s="358"/>
      <c r="N347" s="358">
        <f ca="1">IFERROR(__xludf.DUMMYFUNCTION("IMPORTRANGE(""https://docs.google.com/spreadsheets/d/1SX6NBoVAgQJ6U1MVXOaj8PK2l7WJ3RER9xtqwdhxkhw/edit?usp=sharing"",""ปราจีนบุรี!M242"")"),530696)</f>
        <v>530696</v>
      </c>
      <c r="O347" s="358">
        <f ca="1">+IF(L347&gt;0,N347*100/L347,0)</f>
        <v>61.549524138682898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IFERROR(__xludf.DUMMYFUNCTION("IMPORTRANGE(""https://docs.google.com/spreadsheets/d/1SX6NBoVAgQJ6U1MVXOaj8PK2l7WJ3RER9xtqwdhxkhw/edit?usp=sharing"",""ปราจีนบุรี!I244"")"),60)</f>
        <v>60</v>
      </c>
      <c r="J349" s="371">
        <f ca="1">IFERROR(__xludf.DUMMYFUNCTION("IMPORTRANGE(""https://docs.google.com/spreadsheets/d/1SX6NBoVAgQJ6U1MVXOaj8PK2l7WJ3RER9xtqwdhxkhw/edit?usp=sharing"",""ปราจีนบุรี!J244"")"),60)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IFERROR(__xludf.DUMMYFUNCTION("IMPORTRANGE(""https://docs.google.com/spreadsheets/d/1SX6NBoVAgQJ6U1MVXOaj8PK2l7WJ3RER9xtqwdhxkhw/edit?usp=sharing"",""ปราจีนบุรี!L244"")"),93120)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IFERROR(__xludf.DUMMYFUNCTION("IMPORTRANGE(""https://docs.google.com/spreadsheets/d/1SX6NBoVAgQJ6U1MVXOaj8PK2l7WJ3RER9xtqwdhxkhw/edit?usp=sharing"",""ปราจีนบุรี!M244"")"),89315)</f>
        <v>89315</v>
      </c>
      <c r="O349" s="373">
        <f ca="1">+IF(L349&gt;0,N349*100/L349,0)</f>
        <v>95.913874570446737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IFERROR(__xludf.DUMMYFUNCTION("IMPORTRANGE(""https://docs.google.com/spreadsheets/d/1SX6NBoVAgQJ6U1MVXOaj8PK2l7WJ3RER9xtqwdhxkhw/edit?usp=sharing"",""ปราจีนบุรี!I245"")"),20)</f>
        <v>20</v>
      </c>
      <c r="J350" s="371">
        <f ca="1">IFERROR(__xludf.DUMMYFUNCTION("IMPORTRANGE(""https://docs.google.com/spreadsheets/d/1SX6NBoVAgQJ6U1MVXOaj8PK2l7WJ3RER9xtqwdhxkhw/edit?usp=sharing"",""ปราจีนบุรี!J245"")"),20)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IFERROR(__xludf.DUMMYFUNCTION("IMPORTRANGE(""https://docs.google.com/spreadsheets/d/1SX6NBoVAgQJ6U1MVXOaj8PK2l7WJ3RER9xtqwdhxkhw/edit?usp=sharing"",""ปราจีนบุรี!L246"")"),0)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IFERROR(__xludf.DUMMYFUNCTION("IMPORTRANGE(""https://docs.google.com/spreadsheets/d/1SX6NBoVAgQJ6U1MVXOaj8PK2l7WJ3RER9xtqwdhxkhw/edit?usp=sharing"",""ปราจีนบุรี!M246"")"),0)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IFERROR(__xludf.DUMMYFUNCTION("IMPORTRANGE(""https://docs.google.com/spreadsheets/d/1SX6NBoVAgQJ6U1MVXOaj8PK2l7WJ3RER9xtqwdhxkhw/edit?usp=sharing"",""ปราจีนบุรี!L247"")"),93120)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IFERROR(__xludf.DUMMYFUNCTION("IMPORTRANGE(""https://docs.google.com/spreadsheets/d/1SX6NBoVAgQJ6U1MVXOaj8PK2l7WJ3RER9xtqwdhxkhw/edit?usp=sharing"",""ปราจีนบุรี!M247"")"),89315)</f>
        <v>89315</v>
      </c>
      <c r="O352" s="165">
        <f t="shared" ca="1" si="105"/>
        <v>95.913874570446737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IFERROR(__xludf.DUMMYFUNCTION("IMPORTRANGE(""https://docs.google.com/spreadsheets/d/1SX6NBoVAgQJ6U1MVXOaj8PK2l7WJ3RER9xtqwdhxkhw/edit?usp=sharing"",""ปราจีนบุรี!L248"")"),0)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IFERROR(__xludf.DUMMYFUNCTION("IMPORTRANGE(""https://docs.google.com/spreadsheets/d/1SX6NBoVAgQJ6U1MVXOaj8PK2l7WJ3RER9xtqwdhxkhw/edit?usp=sharing"",""ปราจีนบุรี!M248"")"),0)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IFERROR(__xludf.DUMMYFUNCTION("IMPORTRANGE(""https://docs.google.com/spreadsheets/d/1SX6NBoVAgQJ6U1MVXOaj8PK2l7WJ3RER9xtqwdhxkhw/edit?usp=sharing"",""ปราจีนบุรี!L249"")"),93120)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IFERROR(__xludf.DUMMYFUNCTION("IMPORTRANGE(""https://docs.google.com/spreadsheets/d/1SX6NBoVAgQJ6U1MVXOaj8PK2l7WJ3RER9xtqwdhxkhw/edit?usp=sharing"",""ปราจีนบุรี!M249"")"),89315)</f>
        <v>89315</v>
      </c>
      <c r="O354" s="169">
        <f t="shared" ca="1" si="105"/>
        <v>95.913874570446737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IFERROR(__xludf.DUMMYFUNCTION("IMPORTRANGE(""https://docs.google.com/spreadsheets/d/1SX6NBoVAgQJ6U1MVXOaj8PK2l7WJ3RER9xtqwdhxkhw/edit?usp=sharing"",""ปราจีนบุรี!M250"")"),27600)</f>
        <v>27600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IFERROR(__xludf.DUMMYFUNCTION("IMPORTRANGE(""https://docs.google.com/spreadsheets/d/1SX6NBoVAgQJ6U1MVXOaj8PK2l7WJ3RER9xtqwdhxkhw/edit?usp=sharing"",""ปราจีนบุรี!M251"")"),47000)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IFERROR(__xludf.DUMMYFUNCTION("IMPORTRANGE(""https://docs.google.com/spreadsheets/d/1SX6NBoVAgQJ6U1MVXOaj8PK2l7WJ3RER9xtqwdhxkhw/edit?usp=sharing"",""ปราจีนบุรี!M252"")"),0)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IFERROR(__xludf.DUMMYFUNCTION("IMPORTRANGE(""https://docs.google.com/spreadsheets/d/1SX6NBoVAgQJ6U1MVXOaj8PK2l7WJ3RER9xtqwdhxkhw/edit?usp=sharing"",""ปราจีนบุรี!M253"")"),14715)</f>
        <v>14715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IFERROR(__xludf.DUMMYFUNCTION("IMPORTRANGE(""https://docs.google.com/spreadsheets/d/1SX6NBoVAgQJ6U1MVXOaj8PK2l7WJ3RER9xtqwdhxkhw/edit?usp=sharing"",""ปราจีนบุรี!J255"")"),0)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IFERROR(__xludf.DUMMYFUNCTION("IMPORTRANGE(""https://docs.google.com/spreadsheets/d/1SX6NBoVAgQJ6U1MVXOaj8PK2l7WJ3RER9xtqwdhxkhw/edit?usp=sharing"",""ปราจีนบุรี!J256"")"),1)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IFERROR(__xludf.DUMMYFUNCTION("IMPORTRANGE(""https://docs.google.com/spreadsheets/d/1SX6NBoVAgQJ6U1MVXOaj8PK2l7WJ3RER9xtqwdhxkhw/edit?usp=sharing"",""ปราจีนบุรี!J257"")"),1)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IFERROR(__xludf.DUMMYFUNCTION("IMPORTRANGE(""https://docs.google.com/spreadsheets/d/1SX6NBoVAgQJ6U1MVXOaj8PK2l7WJ3RER9xtqwdhxkhw/edit?usp=sharing"",""ปราจีนบุรี!J258"")"),1)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IFERROR(__xludf.DUMMYFUNCTION("IMPORTRANGE(""https://docs.google.com/spreadsheets/d/1SX6NBoVAgQJ6U1MVXOaj8PK2l7WJ3RER9xtqwdhxkhw/edit?usp=sharing"",""ปราจีนบุรี!J166"")"),0)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IFERROR(__xludf.DUMMYFUNCTION("IMPORTRANGE(""https://docs.google.com/spreadsheets/d/1SX6NBoVAgQJ6U1MVXOaj8PK2l7WJ3RER9xtqwdhxkhw/edit?usp=sharing"",""ปราจีนบุรี!J166"")"),0)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IFERROR(__xludf.DUMMYFUNCTION("IMPORTRANGE(""https://docs.google.com/spreadsheets/d/1SX6NBoVAgQJ6U1MVXOaj8PK2l7WJ3RER9xtqwdhxkhw/edit?usp=sharing"",""ปราจีนบุรี!J166"")"),0)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IFERROR(__xludf.DUMMYFUNCTION("IMPORTRANGE(""https://docs.google.com/spreadsheets/d/1SX6NBoVAgQJ6U1MVXOaj8PK2l7WJ3RER9xtqwdhxkhw/edit?usp=sharing"",""ปราจีนบุรี!J166"")"),0)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IFERROR(__xludf.DUMMYFUNCTION("IMPORTRANGE(""https://docs.google.com/spreadsheets/d/1SX6NBoVAgQJ6U1MVXOaj8PK2l7WJ3RER9xtqwdhxkhw/edit?usp=sharing"",""ปราจีนบุรี!I263"")"),20)</f>
        <v>20</v>
      </c>
      <c r="J368" s="188">
        <f ca="1">IFERROR(__xludf.DUMMYFUNCTION("IMPORTRANGE(""https://docs.google.com/spreadsheets/d/1SX6NBoVAgQJ6U1MVXOaj8PK2l7WJ3RER9xtqwdhxkhw/edit?usp=sharing"",""ปราจีนบุรี!J263"")"),20)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IFERROR(__xludf.DUMMYFUNCTION("IMPORTRANGE(""https://docs.google.com/spreadsheets/d/1SX6NBoVAgQJ6U1MVXOaj8PK2l7WJ3RER9xtqwdhxkhw/edit?usp=sharing"",""ปราจีนบุรี!I164"")"),0)</f>
        <v>0</v>
      </c>
      <c r="J369" s="204">
        <f ca="1">IFERROR(__xludf.DUMMYFUNCTION("IMPORTRANGE(""https://docs.google.com/spreadsheets/d/1SX6NBoVAgQJ6U1MVXOaj8PK2l7WJ3RER9xtqwdhxkhw/edit?usp=sharing"",""ปราจีนบุรี!J164"")"),0)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IFERROR(__xludf.DUMMYFUNCTION("IMPORTRANGE(""https://docs.google.com/spreadsheets/d/1SX6NBoVAgQJ6U1MVXOaj8PK2l7WJ3RER9xtqwdhxkhw/edit?usp=sharing"",""ปราจีนบุรี!I265"")"),20)</f>
        <v>20</v>
      </c>
      <c r="J370" s="204">
        <f ca="1">IFERROR(__xludf.DUMMYFUNCTION("IMPORTRANGE(""https://docs.google.com/spreadsheets/d/1SX6NBoVAgQJ6U1MVXOaj8PK2l7WJ3RER9xtqwdhxkhw/edit?usp=sharing"",""ปราจีนบุรี!J265"")"),20)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IFERROR(__xludf.DUMMYFUNCTION("IMPORTRANGE(""https://docs.google.com/spreadsheets/d/1SX6NBoVAgQJ6U1MVXOaj8PK2l7WJ3RER9xtqwdhxkhw/edit?usp=sharing"",""ปราจีนบุรี!I164"")"),0)</f>
        <v>0</v>
      </c>
      <c r="J371" s="189">
        <f ca="1">IFERROR(__xludf.DUMMYFUNCTION("IMPORTRANGE(""https://docs.google.com/spreadsheets/d/1SX6NBoVAgQJ6U1MVXOaj8PK2l7WJ3RER9xtqwdhxkhw/edit?usp=sharing"",""ปราจีนบุรี!J164"")"),0)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IFERROR(__xludf.DUMMYFUNCTION("IMPORTRANGE(""https://docs.google.com/spreadsheets/d/1SX6NBoVAgQJ6U1MVXOaj8PK2l7WJ3RER9xtqwdhxkhw/edit?usp=sharing"",""ปราจีนบุรี!I267"")"),20)</f>
        <v>20</v>
      </c>
      <c r="J372" s="189">
        <f ca="1">IFERROR(__xludf.DUMMYFUNCTION("IMPORTRANGE(""https://docs.google.com/spreadsheets/d/1SX6NBoVAgQJ6U1MVXOaj8PK2l7WJ3RER9xtqwdhxkhw/edit?usp=sharing"",""ปราจีนบุรี!J267"")"),20)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IFERROR(__xludf.DUMMYFUNCTION("IMPORTRANGE(""https://docs.google.com/spreadsheets/d/1SX6NBoVAgQJ6U1MVXOaj8PK2l7WJ3RER9xtqwdhxkhw/edit?usp=sharing"",""ปราจีนบุรี!I164"")"),0)</f>
        <v>0</v>
      </c>
      <c r="J373" s="204">
        <f ca="1">IFERROR(__xludf.DUMMYFUNCTION("IMPORTRANGE(""https://docs.google.com/spreadsheets/d/1SX6NBoVAgQJ6U1MVXOaj8PK2l7WJ3RER9xtqwdhxkhw/edit?usp=sharing"",""ปราจีนบุรี!J164"")"),0)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IFERROR(__xludf.DUMMYFUNCTION("IMPORTRANGE(""https://docs.google.com/spreadsheets/d/1SX6NBoVAgQJ6U1MVXOaj8PK2l7WJ3RER9xtqwdhxkhw/edit?usp=sharing"",""ปราจีนบุรี!I164"")"),0)</f>
        <v>0</v>
      </c>
      <c r="J374" s="188">
        <f ca="1">IFERROR(__xludf.DUMMYFUNCTION("IMPORTRANGE(""https://docs.google.com/spreadsheets/d/1SX6NBoVAgQJ6U1MVXOaj8PK2l7WJ3RER9xtqwdhxkhw/edit?usp=sharing"",""ปราจีนบุรี!J164"")"),0)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IFERROR(__xludf.DUMMYFUNCTION("IMPORTRANGE(""https://docs.google.com/spreadsheets/d/1SX6NBoVAgQJ6U1MVXOaj8PK2l7WJ3RER9xtqwdhxkhw/edit?usp=sharing"",""ปราจีนบุรี!I270"")"),60)</f>
        <v>60</v>
      </c>
      <c r="J375" s="188">
        <f ca="1">IFERROR(__xludf.DUMMYFUNCTION("IMPORTRANGE(""https://docs.google.com/spreadsheets/d/1SX6NBoVAgQJ6U1MVXOaj8PK2l7WJ3RER9xtqwdhxkhw/edit?usp=sharing"",""ปราจีนบุรี!J270"")"),60)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IFERROR(__xludf.DUMMYFUNCTION("IMPORTRANGE(""https://docs.google.com/spreadsheets/d/1SX6NBoVAgQJ6U1MVXOaj8PK2l7WJ3RER9xtqwdhxkhw/edit?usp=sharing"",""ปราจีนบุรี!I271"")"),0)</f>
        <v>0</v>
      </c>
      <c r="J376" s="189">
        <f ca="1">IFERROR(__xludf.DUMMYFUNCTION("IMPORTRANGE(""https://docs.google.com/spreadsheets/d/1SX6NBoVAgQJ6U1MVXOaj8PK2l7WJ3RER9xtqwdhxkhw/edit?usp=sharing"",""ปราจีนบุรี!J271"")"),0)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IFERROR(__xludf.DUMMYFUNCTION("IMPORTRANGE(""https://docs.google.com/spreadsheets/d/1SX6NBoVAgQJ6U1MVXOaj8PK2l7WJ3RER9xtqwdhxkhw/edit?usp=sharing"",""ปราจีนบุรี!I272"")"),60)</f>
        <v>60</v>
      </c>
      <c r="J377" s="204">
        <f ca="1">IFERROR(__xludf.DUMMYFUNCTION("IMPORTRANGE(""https://docs.google.com/spreadsheets/d/1SX6NBoVAgQJ6U1MVXOaj8PK2l7WJ3RER9xtqwdhxkhw/edit?usp=sharing"",""ปราจีนบุรี!J272"")"),60)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IFERROR(__xludf.DUMMYFUNCTION("IMPORTRANGE(""https://docs.google.com/spreadsheets/d/1SX6NBoVAgQJ6U1MVXOaj8PK2l7WJ3RER9xtqwdhxkhw/edit?usp=sharing"",""ปราจีนบุรี!J273"")"),0)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IFERROR(__xludf.DUMMYFUNCTION("IMPORTRANGE(""https://docs.google.com/spreadsheets/d/1SX6NBoVAgQJ6U1MVXOaj8PK2l7WJ3RER9xtqwdhxkhw/edit?usp=sharing"",""ปราจีนบุรี!J274"")"),0)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IFERROR(__xludf.DUMMYFUNCTION("IMPORTRANGE(""https://docs.google.com/spreadsheets/d/1SX6NBoVAgQJ6U1MVXOaj8PK2l7WJ3RER9xtqwdhxkhw/edit?usp=sharing"",""ปราจีนบุรี!I275"")"),200)</f>
        <v>200</v>
      </c>
      <c r="J380" s="371">
        <f ca="1">IFERROR(__xludf.DUMMYFUNCTION("IMPORTRANGE(""https://docs.google.com/spreadsheets/d/1SX6NBoVAgQJ6U1MVXOaj8PK2l7WJ3RER9xtqwdhxkhw/edit?usp=sharing"",""ปราจีนบุรี!J275"")"),0)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IFERROR(__xludf.DUMMYFUNCTION("IMPORTRANGE(""https://docs.google.com/spreadsheets/d/1SX6NBoVAgQJ6U1MVXOaj8PK2l7WJ3RER9xtqwdhxkhw/edit?usp=sharing"",""ปราจีนบุรี!M275"")"),203920)</f>
        <v>203920</v>
      </c>
      <c r="O380" s="373">
        <f ca="1">+IF(L380&gt;0,N380*100/L380,0)</f>
        <v>98.246290229331279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IFERROR(__xludf.DUMMYFUNCTION("IMPORTRANGE(""https://docs.google.com/spreadsheets/d/1SX6NBoVAgQJ6U1MVXOaj8PK2l7WJ3RER9xtqwdhxkhw/edit?usp=sharing"",""ปราจีนบุรี!I276"")"),20)</f>
        <v>20</v>
      </c>
      <c r="J381" s="371">
        <f ca="1">IFERROR(__xludf.DUMMYFUNCTION("IMPORTRANGE(""https://docs.google.com/spreadsheets/d/1SX6NBoVAgQJ6U1MVXOaj8PK2l7WJ3RER9xtqwdhxkhw/edit?usp=sharing"",""ปราจีนบุรี!J276"")"),20)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IFERROR(__xludf.DUMMYFUNCTION("IMPORTRANGE(""https://docs.google.com/spreadsheets/d/1SX6NBoVAgQJ6U1MVXOaj8PK2l7WJ3RER9xtqwdhxkhw/edit?usp=sharing"",""ปราจีนบุรี!L277"")"),0)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IFERROR(__xludf.DUMMYFUNCTION("IMPORTRANGE(""https://docs.google.com/spreadsheets/d/1SX6NBoVAgQJ6U1MVXOaj8PK2l7WJ3RER9xtqwdhxkhw/edit?usp=sharing"",""ปราจีนบุรี!M277"")"),0)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IFERROR(__xludf.DUMMYFUNCTION("IMPORTRANGE(""https://docs.google.com/spreadsheets/d/1SX6NBoVAgQJ6U1MVXOaj8PK2l7WJ3RER9xtqwdhxkhw/edit?usp=sharing"",""ปราจีนบุรี!M278"")"),203920)</f>
        <v>203920</v>
      </c>
      <c r="O383" s="165">
        <f t="shared" ca="1" si="109"/>
        <v>98.246290229331279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IFERROR(__xludf.DUMMYFUNCTION("IMPORTRANGE(""https://docs.google.com/spreadsheets/d/1SX6NBoVAgQJ6U1MVXOaj8PK2l7WJ3RER9xtqwdhxkhw/edit?usp=sharing"",""ปราจีนบุรี!L279"")"),0)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IFERROR(__xludf.DUMMYFUNCTION("IMPORTRANGE(""https://docs.google.com/spreadsheets/d/1SX6NBoVAgQJ6U1MVXOaj8PK2l7WJ3RER9xtqwdhxkhw/edit?usp=sharing"",""ปราจีนบุรี!M279"")"),0)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IFERROR(__xludf.DUMMYFUNCTION("IMPORTRANGE(""https://docs.google.com/spreadsheets/d/1SX6NBoVAgQJ6U1MVXOaj8PK2l7WJ3RER9xtqwdhxkhw/edit?usp=sharing"",""ปราจีนบุรี!L280"")"),207560)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IFERROR(__xludf.DUMMYFUNCTION("IMPORTRANGE(""https://docs.google.com/spreadsheets/d/1SX6NBoVAgQJ6U1MVXOaj8PK2l7WJ3RER9xtqwdhxkhw/edit?usp=sharing"",""ปราจีนบุรี!M280"")"),203920)</f>
        <v>203920</v>
      </c>
      <c r="O385" s="169">
        <f t="shared" ca="1" si="109"/>
        <v>98.246290229331279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IFERROR(__xludf.DUMMYFUNCTION("IMPORTRANGE(""https://docs.google.com/spreadsheets/d/1SX6NBoVAgQJ6U1MVXOaj8PK2l7WJ3RER9xtqwdhxkhw/edit?usp=sharing"",""ปราจีนบุรี!M281"")"),58800)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IFERROR(__xludf.DUMMYFUNCTION("IMPORTRANGE(""https://docs.google.com/spreadsheets/d/1SX6NBoVAgQJ6U1MVXOaj8PK2l7WJ3RER9xtqwdhxkhw/edit?usp=sharing"",""ปราจีนบุรี!M282"")"),125000)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IFERROR(__xludf.DUMMYFUNCTION("IMPORTRANGE(""https://docs.google.com/spreadsheets/d/1SX6NBoVAgQJ6U1MVXOaj8PK2l7WJ3RER9xtqwdhxkhw/edit?usp=sharing"",""ปราจีนบุรี!M283"")"),0)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IFERROR(__xludf.DUMMYFUNCTION("IMPORTRANGE(""https://docs.google.com/spreadsheets/d/1SX6NBoVAgQJ6U1MVXOaj8PK2l7WJ3RER9xtqwdhxkhw/edit?usp=sharing"",""ปราจีนบุรี!M284"")"),20120)</f>
        <v>20120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IFERROR(__xludf.DUMMYFUNCTION("IMPORTRANGE(""https://docs.google.com/spreadsheets/d/1SX6NBoVAgQJ6U1MVXOaj8PK2l7WJ3RER9xtqwdhxkhw/edit?usp=sharing"",""ปราจีนบุรี!J286"")"),0)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IFERROR(__xludf.DUMMYFUNCTION("IMPORTRANGE(""https://docs.google.com/spreadsheets/d/1SX6NBoVAgQJ6U1MVXOaj8PK2l7WJ3RER9xtqwdhxkhw/edit?usp=sharing"",""ปราจีนบุรี!J287"")"),1)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IFERROR(__xludf.DUMMYFUNCTION("IMPORTRANGE(""https://docs.google.com/spreadsheets/d/1SX6NBoVAgQJ6U1MVXOaj8PK2l7WJ3RER9xtqwdhxkhw/edit?usp=sharing"",""ปราจีนบุรี!J288"")"),1)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IFERROR(__xludf.DUMMYFUNCTION("IMPORTRANGE(""https://docs.google.com/spreadsheets/d/1SX6NBoVAgQJ6U1MVXOaj8PK2l7WJ3RER9xtqwdhxkhw/edit?usp=sharing"",""ปราจีนบุรี!J289"")"),1)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IFERROR(__xludf.DUMMYFUNCTION("IMPORTRANGE(""https://docs.google.com/spreadsheets/d/1SX6NBoVAgQJ6U1MVXOaj8PK2l7WJ3RER9xtqwdhxkhw/edit?usp=sharing"",""ปราจีนบุรี!I291"")"),20)</f>
        <v>20</v>
      </c>
      <c r="J396" s="198">
        <f ca="1">IFERROR(__xludf.DUMMYFUNCTION("IMPORTRANGE(""https://docs.google.com/spreadsheets/d/1SX6NBoVAgQJ6U1MVXOaj8PK2l7WJ3RER9xtqwdhxkhw/edit?usp=sharing"",""ปราจีนบุรี!J291"")"),20)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IFERROR(__xludf.DUMMYFUNCTION("IMPORTRANGE(""https://docs.google.com/spreadsheets/d/1SX6NBoVAgQJ6U1MVXOaj8PK2l7WJ3RER9xtqwdhxkhw/edit?usp=sharing"",""ปราจีนบุรี!I292"")"),200)</f>
        <v>200</v>
      </c>
      <c r="J397" s="198">
        <f ca="1">IFERROR(__xludf.DUMMYFUNCTION("IMPORTRANGE(""https://docs.google.com/spreadsheets/d/1SX6NBoVAgQJ6U1MVXOaj8PK2l7WJ3RER9xtqwdhxkhw/edit?usp=sharing"",""ปราจีนบุรี!J292"")"),0)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IFERROR(__xludf.DUMMYFUNCTION("IMPORTRANGE(""https://docs.google.com/spreadsheets/d/1SX6NBoVAgQJ6U1MVXOaj8PK2l7WJ3RER9xtqwdhxkhw/edit?usp=sharing"",""ปราจีนบุรี!I293"")"),20)</f>
        <v>20</v>
      </c>
      <c r="J398" s="198">
        <f ca="1">IFERROR(__xludf.DUMMYFUNCTION("IMPORTRANGE(""https://docs.google.com/spreadsheets/d/1SX6NBoVAgQJ6U1MVXOaj8PK2l7WJ3RER9xtqwdhxkhw/edit?usp=sharing"",""ปราจีนบุรี!J293"")"),0)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IFERROR(__xludf.DUMMYFUNCTION("IMPORTRANGE(""https://docs.google.com/spreadsheets/d/1SX6NBoVAgQJ6U1MVXOaj8PK2l7WJ3RER9xtqwdhxkhw/edit?usp=sharing"",""ปราจีนบุรี!J294"")"),0)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IFERROR(__xludf.DUMMYFUNCTION("IMPORTRANGE(""https://docs.google.com/spreadsheets/d/1SX6NBoVAgQJ6U1MVXOaj8PK2l7WJ3RER9xtqwdhxkhw/edit?usp=sharing"",""ปราจีนบุรี!J295"")"),0)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IFERROR(__xludf.DUMMYFUNCTION("IMPORTRANGE(""https://docs.google.com/spreadsheets/d/1SX6NBoVAgQJ6U1MVXOaj8PK2l7WJ3RER9xtqwdhxkhw/edit?usp=sharing"",""ปราจีนบุรี!I296"")"),90)</f>
        <v>90</v>
      </c>
      <c r="J401" s="371">
        <f ca="1">IFERROR(__xludf.DUMMYFUNCTION("IMPORTRANGE(""https://docs.google.com/spreadsheets/d/1SX6NBoVAgQJ6U1MVXOaj8PK2l7WJ3RER9xtqwdhxkhw/edit?usp=sharing"",""ปราจีนบุรี!J296"")"),90)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IFERROR(__xludf.DUMMYFUNCTION("IMPORTRANGE(""https://docs.google.com/spreadsheets/d/1SX6NBoVAgQJ6U1MVXOaj8PK2l7WJ3RER9xtqwdhxkhw/edit?usp=sharing"",""ปราจีนบุรี!M296"")"),74380)</f>
        <v>74380</v>
      </c>
      <c r="O401" s="373">
        <f ca="1">+IF(L401&gt;0,N401*100/L401,0)</f>
        <v>63.944291609353506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IFERROR(__xludf.DUMMYFUNCTION("IMPORTRANGE(""https://docs.google.com/spreadsheets/d/1SX6NBoVAgQJ6U1MVXOaj8PK2l7WJ3RER9xtqwdhxkhw/edit?usp=sharing"",""ปราจีนบุรี!I297"")"),30)</f>
        <v>30</v>
      </c>
      <c r="J402" s="371">
        <f ca="1">IFERROR(__xludf.DUMMYFUNCTION("IMPORTRANGE(""https://docs.google.com/spreadsheets/d/1SX6NBoVAgQJ6U1MVXOaj8PK2l7WJ3RER9xtqwdhxkhw/edit?usp=sharing"",""ปราจีนบุรี!J297"")"),30)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IFERROR(__xludf.DUMMYFUNCTION("IMPORTRANGE(""https://docs.google.com/spreadsheets/d/1SX6NBoVAgQJ6U1MVXOaj8PK2l7WJ3RER9xtqwdhxkhw/edit?usp=sharing"",""ปราจีนบุรี!L298"")"),0)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IFERROR(__xludf.DUMMYFUNCTION("IMPORTRANGE(""https://docs.google.com/spreadsheets/d/1SX6NBoVAgQJ6U1MVXOaj8PK2l7WJ3RER9xtqwdhxkhw/edit?usp=sharing"",""ปราจีนบุรี!M298"")"),0)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IFERROR(__xludf.DUMMYFUNCTION("IMPORTRANGE(""https://docs.google.com/spreadsheets/d/1SX6NBoVAgQJ6U1MVXOaj8PK2l7WJ3RER9xtqwdhxkhw/edit?usp=sharing"",""ปราจีนบุรี!M299"")"),74380)</f>
        <v>74380</v>
      </c>
      <c r="O404" s="169">
        <f t="shared" ca="1" si="112"/>
        <v>63.944291609353506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IFERROR(__xludf.DUMMYFUNCTION("IMPORTRANGE(""https://docs.google.com/spreadsheets/d/1SX6NBoVAgQJ6U1MVXOaj8PK2l7WJ3RER9xtqwdhxkhw/edit?usp=sharing"",""ปราจีนบุรี!L300"")"),0)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IFERROR(__xludf.DUMMYFUNCTION("IMPORTRANGE(""https://docs.google.com/spreadsheets/d/1SX6NBoVAgQJ6U1MVXOaj8PK2l7WJ3RER9xtqwdhxkhw/edit?usp=sharing"",""ปราจีนบุรี!M300"")"),0)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IFERROR(__xludf.DUMMYFUNCTION("IMPORTRANGE(""https://docs.google.com/spreadsheets/d/1SX6NBoVAgQJ6U1MVXOaj8PK2l7WJ3RER9xtqwdhxkhw/edit?usp=sharing"",""ปราจีนบุรี!L301"")"),116320)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IFERROR(__xludf.DUMMYFUNCTION("IMPORTRANGE(""https://docs.google.com/spreadsheets/d/1SX6NBoVAgQJ6U1MVXOaj8PK2l7WJ3RER9xtqwdhxkhw/edit?usp=sharing"",""ปราจีนบุรี!M301"")"),74380)</f>
        <v>74380</v>
      </c>
      <c r="O406" s="169">
        <f t="shared" ca="1" si="112"/>
        <v>63.944291609353506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IFERROR(__xludf.DUMMYFUNCTION("IMPORTRANGE(""https://docs.google.com/spreadsheets/d/1SX6NBoVAgQJ6U1MVXOaj8PK2l7WJ3RER9xtqwdhxkhw/edit?usp=sharing"",""ปราจีนบุรี!M302"")"),53440)</f>
        <v>53440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IFERROR(__xludf.DUMMYFUNCTION("IMPORTRANGE(""https://docs.google.com/spreadsheets/d/1SX6NBoVAgQJ6U1MVXOaj8PK2l7WJ3RER9xtqwdhxkhw/edit?usp=sharing"",""ปราจีนบุรี!M303"")"),0)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IFERROR(__xludf.DUMMYFUNCTION("IMPORTRANGE(""https://docs.google.com/spreadsheets/d/1SX6NBoVAgQJ6U1MVXOaj8PK2l7WJ3RER9xtqwdhxkhw/edit?usp=sharing"",""ปราจีนบุรี!M304"")"),0)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IFERROR(__xludf.DUMMYFUNCTION("IMPORTRANGE(""https://docs.google.com/spreadsheets/d/1SX6NBoVAgQJ6U1MVXOaj8PK2l7WJ3RER9xtqwdhxkhw/edit?usp=sharing"",""ปราจีนบุรี!M305"")"),20940)</f>
        <v>20940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IFERROR(__xludf.DUMMYFUNCTION("IMPORTRANGE(""https://docs.google.com/spreadsheets/d/1SX6NBoVAgQJ6U1MVXOaj8PK2l7WJ3RER9xtqwdhxkhw/edit?usp=sharing"",""ปราจีนบุรี!J307"")"),0)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IFERROR(__xludf.DUMMYFUNCTION("IMPORTRANGE(""https://docs.google.com/spreadsheets/d/1SX6NBoVAgQJ6U1MVXOaj8PK2l7WJ3RER9xtqwdhxkhw/edit?usp=sharing"",""ปราจีนบุรี!J308"")"),1)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IFERROR(__xludf.DUMMYFUNCTION("IMPORTRANGE(""https://docs.google.com/spreadsheets/d/1SX6NBoVAgQJ6U1MVXOaj8PK2l7WJ3RER9xtqwdhxkhw/edit?usp=sharing"",""ปราจีนบุรี!J309"")"),1)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IFERROR(__xludf.DUMMYFUNCTION("IMPORTRANGE(""https://docs.google.com/spreadsheets/d/1SX6NBoVAgQJ6U1MVXOaj8PK2l7WJ3RER9xtqwdhxkhw/edit?usp=sharing"",""ปราจีนบุรี!J310"")"),1)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IFERROR(__xludf.DUMMYFUNCTION("IMPORTRANGE(""https://docs.google.com/spreadsheets/d/1SX6NBoVAgQJ6U1MVXOaj8PK2l7WJ3RER9xtqwdhxkhw/edit?usp=sharing"",""ปราจีนบุรี!I311"")"),30)</f>
        <v>30</v>
      </c>
      <c r="J416" s="201">
        <f ca="1">IFERROR(__xludf.DUMMYFUNCTION("IMPORTRANGE(""https://docs.google.com/spreadsheets/d/1SX6NBoVAgQJ6U1MVXOaj8PK2l7WJ3RER9xtqwdhxkhw/edit?usp=sharing"",""ปราจีนบุรี!J311"")"),30)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IFERROR(__xludf.DUMMYFUNCTION("IMPORTRANGE(""https://docs.google.com/spreadsheets/d/1SX6NBoVAgQJ6U1MVXOaj8PK2l7WJ3RER9xtqwdhxkhw/edit?usp=sharing"",""ปราจีนบุรี!I312"")"),10)</f>
        <v>10</v>
      </c>
      <c r="J417" s="392">
        <f ca="1">IFERROR(__xludf.DUMMYFUNCTION("IMPORTRANGE(""https://docs.google.com/spreadsheets/d/1SX6NBoVAgQJ6U1MVXOaj8PK2l7WJ3RER9xtqwdhxkhw/edit?usp=sharing"",""ปราจีนบุรี!J312"")"),10)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IFERROR(__xludf.DUMMYFUNCTION("IMPORTRANGE(""https://docs.google.com/spreadsheets/d/1SX6NBoVAgQJ6U1MVXOaj8PK2l7WJ3RER9xtqwdhxkhw/edit?usp=sharing"",""ปราจีนบุรี!I313"")"),30)</f>
        <v>30</v>
      </c>
      <c r="J418" s="393">
        <f ca="1">IFERROR(__xludf.DUMMYFUNCTION("IMPORTRANGE(""https://docs.google.com/spreadsheets/d/1SX6NBoVAgQJ6U1MVXOaj8PK2l7WJ3RER9xtqwdhxkhw/edit?usp=sharing"",""ปราจีนบุรี!J313"")"),30)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IFERROR(__xludf.DUMMYFUNCTION("IMPORTRANGE(""https://docs.google.com/spreadsheets/d/1SX6NBoVAgQJ6U1MVXOaj8PK2l7WJ3RER9xtqwdhxkhw/edit?usp=sharing"",""ปราจีนบุรี!I314"")"),10)</f>
        <v>10</v>
      </c>
      <c r="J419" s="394">
        <f ca="1">IFERROR(__xludf.DUMMYFUNCTION("IMPORTRANGE(""https://docs.google.com/spreadsheets/d/1SX6NBoVAgQJ6U1MVXOaj8PK2l7WJ3RER9xtqwdhxkhw/edit?usp=sharing"",""ปราจีนบุรี!J314"")"),10)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IFERROR(__xludf.DUMMYFUNCTION("IMPORTRANGE(""https://docs.google.com/spreadsheets/d/1SX6NBoVAgQJ6U1MVXOaj8PK2l7WJ3RER9xtqwdhxkhw/edit?usp=sharing"",""ปราจีนบุรี!I315"")"),10)</f>
        <v>10</v>
      </c>
      <c r="J420" s="394">
        <f ca="1">IFERROR(__xludf.DUMMYFUNCTION("IMPORTRANGE(""https://docs.google.com/spreadsheets/d/1SX6NBoVAgQJ6U1MVXOaj8PK2l7WJ3RER9xtqwdhxkhw/edit?usp=sharing"",""ปราจีนบุรี!J315"")"),10)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IFERROR(__xludf.DUMMYFUNCTION("IMPORTRANGE(""https://docs.google.com/spreadsheets/d/1SX6NBoVAgQJ6U1MVXOaj8PK2l7WJ3RER9xtqwdhxkhw/edit?usp=sharing"",""ปราจีนบุรี!I316"")"),10)</f>
        <v>10</v>
      </c>
      <c r="J421" s="392">
        <f ca="1">IFERROR(__xludf.DUMMYFUNCTION("IMPORTRANGE(""https://docs.google.com/spreadsheets/d/1SX6NBoVAgQJ6U1MVXOaj8PK2l7WJ3RER9xtqwdhxkhw/edit?usp=sharing"",""ปราจีนบุรี!J316"")"),10)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IFERROR(__xludf.DUMMYFUNCTION("IMPORTRANGE(""https://docs.google.com/spreadsheets/d/1SX6NBoVAgQJ6U1MVXOaj8PK2l7WJ3RER9xtqwdhxkhw/edit?usp=sharing"",""ปราจีนบุรี!I317"")"),30)</f>
        <v>30</v>
      </c>
      <c r="J422" s="393">
        <f ca="1">IFERROR(__xludf.DUMMYFUNCTION("IMPORTRANGE(""https://docs.google.com/spreadsheets/d/1SX6NBoVAgQJ6U1MVXOaj8PK2l7WJ3RER9xtqwdhxkhw/edit?usp=sharing"",""ปราจีนบุรี!J317"")"),30)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IFERROR(__xludf.DUMMYFUNCTION("IMPORTRANGE(""https://docs.google.com/spreadsheets/d/1SX6NBoVAgQJ6U1MVXOaj8PK2l7WJ3RER9xtqwdhxkhw/edit?usp=sharing"",""ปราจีนบุรี!I318"")"),10)</f>
        <v>10</v>
      </c>
      <c r="J423" s="394">
        <f ca="1">IFERROR(__xludf.DUMMYFUNCTION("IMPORTRANGE(""https://docs.google.com/spreadsheets/d/1SX6NBoVAgQJ6U1MVXOaj8PK2l7WJ3RER9xtqwdhxkhw/edit?usp=sharing"",""ปราจีนบุรี!J318"")"),10)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IFERROR(__xludf.DUMMYFUNCTION("IMPORTRANGE(""https://docs.google.com/spreadsheets/d/1SX6NBoVAgQJ6U1MVXOaj8PK2l7WJ3RER9xtqwdhxkhw/edit?usp=sharing"",""ปราจีนบุรี!I319"")"),10)</f>
        <v>10</v>
      </c>
      <c r="J424" s="394">
        <f ca="1">IFERROR(__xludf.DUMMYFUNCTION("IMPORTRANGE(""https://docs.google.com/spreadsheets/d/1SX6NBoVAgQJ6U1MVXOaj8PK2l7WJ3RER9xtqwdhxkhw/edit?usp=sharing"",""ปราจีนบุรี!J319"")"),10)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IFERROR(__xludf.DUMMYFUNCTION("IMPORTRANGE(""https://docs.google.com/spreadsheets/d/1SX6NBoVAgQJ6U1MVXOaj8PK2l7WJ3RER9xtqwdhxkhw/edit?usp=sharing"",""ปราจีนบุรี!I320"")"),10)</f>
        <v>10</v>
      </c>
      <c r="J425" s="394">
        <f ca="1">IFERROR(__xludf.DUMMYFUNCTION("IMPORTRANGE(""https://docs.google.com/spreadsheets/d/1SX6NBoVAgQJ6U1MVXOaj8PK2l7WJ3RER9xtqwdhxkhw/edit?usp=sharing"",""ปราจีนบุรี!J320"")"),10)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IFERROR(__xludf.DUMMYFUNCTION("IMPORTRANGE(""https://docs.google.com/spreadsheets/d/1SX6NBoVAgQJ6U1MVXOaj8PK2l7WJ3RER9xtqwdhxkhw/edit?usp=sharing"",""ปราจีนบุรี!I321"")"),10)</f>
        <v>10</v>
      </c>
      <c r="J426" s="392">
        <f ca="1">IFERROR(__xludf.DUMMYFUNCTION("IMPORTRANGE(""https://docs.google.com/spreadsheets/d/1SX6NBoVAgQJ6U1MVXOaj8PK2l7WJ3RER9xtqwdhxkhw/edit?usp=sharing"",""ปราจีนบุรี!J321"")"),10)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IFERROR(__xludf.DUMMYFUNCTION("IMPORTRANGE(""https://docs.google.com/spreadsheets/d/1SX6NBoVAgQJ6U1MVXOaj8PK2l7WJ3RER9xtqwdhxkhw/edit?usp=sharing"",""ปราจีนบุรี!I322"")"),30)</f>
        <v>30</v>
      </c>
      <c r="J427" s="393">
        <f ca="1">IFERROR(__xludf.DUMMYFUNCTION("IMPORTRANGE(""https://docs.google.com/spreadsheets/d/1SX6NBoVAgQJ6U1MVXOaj8PK2l7WJ3RER9xtqwdhxkhw/edit?usp=sharing"",""ปราจีนบุรี!J322"")"),30)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IFERROR(__xludf.DUMMYFUNCTION("IMPORTRANGE(""https://docs.google.com/spreadsheets/d/1SX6NBoVAgQJ6U1MVXOaj8PK2l7WJ3RER9xtqwdhxkhw/edit?usp=sharing"",""ปราจีนบุรี!I323"")"),10)</f>
        <v>10</v>
      </c>
      <c r="J428" s="394">
        <f ca="1">IFERROR(__xludf.DUMMYFUNCTION("IMPORTRANGE(""https://docs.google.com/spreadsheets/d/1SX6NBoVAgQJ6U1MVXOaj8PK2l7WJ3RER9xtqwdhxkhw/edit?usp=sharing"",""ปราจีนบุรี!J323"")"),10)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IFERROR(__xludf.DUMMYFUNCTION("IMPORTRANGE(""https://docs.google.com/spreadsheets/d/1SX6NBoVAgQJ6U1MVXOaj8PK2l7WJ3RER9xtqwdhxkhw/edit?usp=sharing"",""ปราจีนบุรี!I324"")"),10)</f>
        <v>10</v>
      </c>
      <c r="J429" s="394">
        <f ca="1">IFERROR(__xludf.DUMMYFUNCTION("IMPORTRANGE(""https://docs.google.com/spreadsheets/d/1SX6NBoVAgQJ6U1MVXOaj8PK2l7WJ3RER9xtqwdhxkhw/edit?usp=sharing"",""ปราจีนบุรี!J324"")"),10)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IFERROR(__xludf.DUMMYFUNCTION("IMPORTRANGE(""https://docs.google.com/spreadsheets/d/1SX6NBoVAgQJ6U1MVXOaj8PK2l7WJ3RER9xtqwdhxkhw/edit?usp=sharing"",""ปราจีนบุรี!I325"")"),20)</f>
        <v>20</v>
      </c>
      <c r="J430" s="392">
        <f ca="1">IFERROR(__xludf.DUMMYFUNCTION("IMPORTRANGE(""https://docs.google.com/spreadsheets/d/1SX6NBoVAgQJ6U1MVXOaj8PK2l7WJ3RER9xtqwdhxkhw/edit?usp=sharing"",""ปราจีนบุรี!J325"")"),0)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IFERROR(__xludf.DUMMYFUNCTION("IMPORTRANGE(""https://docs.google.com/spreadsheets/d/1SX6NBoVAgQJ6U1MVXOaj8PK2l7WJ3RER9xtqwdhxkhw/edit?usp=sharing"",""ปราจีนบุรี!I326"")"),10)</f>
        <v>10</v>
      </c>
      <c r="J431" s="394">
        <f ca="1">IFERROR(__xludf.DUMMYFUNCTION("IMPORTRANGE(""https://docs.google.com/spreadsheets/d/1SX6NBoVAgQJ6U1MVXOaj8PK2l7WJ3RER9xtqwdhxkhw/edit?usp=sharing"",""ปราจีนบุรี!J326"")"),0)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IFERROR(__xludf.DUMMYFUNCTION("IMPORTRANGE(""https://docs.google.com/spreadsheets/d/1SX6NBoVAgQJ6U1MVXOaj8PK2l7WJ3RER9xtqwdhxkhw/edit?usp=sharing"",""ปราจีนบุรี!I327"")"),10)</f>
        <v>10</v>
      </c>
      <c r="J432" s="394">
        <f ca="1">IFERROR(__xludf.DUMMYFUNCTION("IMPORTRANGE(""https://docs.google.com/spreadsheets/d/1SX6NBoVAgQJ6U1MVXOaj8PK2l7WJ3RER9xtqwdhxkhw/edit?usp=sharing"",""ปราจีนบุรี!J327"")"),0)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IFERROR(__xludf.DUMMYFUNCTION("IMPORTRANGE(""https://docs.google.com/spreadsheets/d/1SX6NBoVAgQJ6U1MVXOaj8PK2l7WJ3RER9xtqwdhxkhw/edit?usp=sharing"",""ปราจีนบุรี!J328"")"),0)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IFERROR(__xludf.DUMMYFUNCTION("IMPORTRANGE(""https://docs.google.com/spreadsheets/d/1SX6NBoVAgQJ6U1MVXOaj8PK2l7WJ3RER9xtqwdhxkhw/edit?usp=sharing"",""ปราจีนบุรี!J329"")"),0)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IFERROR(__xludf.DUMMYFUNCTION("IMPORTRANGE(""https://docs.google.com/spreadsheets/d/1SX6NBoVAgQJ6U1MVXOaj8PK2l7WJ3RER9xtqwdhxkhw/edit?usp=sharing"",""ปราจีนบุรี!I330"")"),10)</f>
        <v>10</v>
      </c>
      <c r="J435" s="410">
        <f ca="1">IFERROR(__xludf.DUMMYFUNCTION("IMPORTRANGE(""https://docs.google.com/spreadsheets/d/1SX6NBoVAgQJ6U1MVXOaj8PK2l7WJ3RER9xtqwdhxkhw/edit?usp=sharing"",""ปราจีนบุรี!J330"")"),10)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IFERROR(__xludf.DUMMYFUNCTION("IMPORTRANGE(""https://docs.google.com/spreadsheets/d/1SX6NBoVAgQJ6U1MVXOaj8PK2l7WJ3RER9xtqwdhxkhw/edit?usp=sharing"",""ปราจีนบุรี!L330"")"),90200)</f>
        <v>90200</v>
      </c>
      <c r="M435" s="412"/>
      <c r="N435" s="412">
        <f ca="1">IFERROR(__xludf.DUMMYFUNCTION("IMPORTRANGE(""https://docs.google.com/spreadsheets/d/1SX6NBoVAgQJ6U1MVXOaj8PK2l7WJ3RER9xtqwdhxkhw/edit?usp=sharing"",""ปราจีนบุรี!M330"")"),64520)</f>
        <v>64520</v>
      </c>
      <c r="O435" s="412">
        <f t="shared" ref="O435:O439" ca="1" si="114">+IF(L435&gt;0,N435*100/L435,0)</f>
        <v>71.529933481152995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IFERROR(__xludf.DUMMYFUNCTION("IMPORTRANGE(""https://docs.google.com/spreadsheets/d/1SX6NBoVAgQJ6U1MVXOaj8PK2l7WJ3RER9xtqwdhxkhw/edit?usp=sharing"",""ปราจีนบุรี!L331"")"),0)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IFERROR(__xludf.DUMMYFUNCTION("IMPORTRANGE(""https://docs.google.com/spreadsheets/d/1SX6NBoVAgQJ6U1MVXOaj8PK2l7WJ3RER9xtqwdhxkhw/edit?usp=sharing"",""ปราจีนบุรี!M331"")"),0)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IFERROR(__xludf.DUMMYFUNCTION("IMPORTRANGE(""https://docs.google.com/spreadsheets/d/1SX6NBoVAgQJ6U1MVXOaj8PK2l7WJ3RER9xtqwdhxkhw/edit?usp=sharing"",""ปราจีนบุรี!L332"")"),90200)</f>
        <v>90200</v>
      </c>
      <c r="M437" s="165"/>
      <c r="N437" s="169">
        <f ca="1">IFERROR(__xludf.DUMMYFUNCTION("IMPORTRANGE(""https://docs.google.com/spreadsheets/d/1SX6NBoVAgQJ6U1MVXOaj8PK2l7WJ3RER9xtqwdhxkhw/edit?usp=sharing"",""ปราจีนบุรี!M332"")"),64520)</f>
        <v>64520</v>
      </c>
      <c r="O437" s="169">
        <f t="shared" ca="1" si="114"/>
        <v>71.529933481152995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IFERROR(__xludf.DUMMYFUNCTION("IMPORTRANGE(""https://docs.google.com/spreadsheets/d/1SX6NBoVAgQJ6U1MVXOaj8PK2l7WJ3RER9xtqwdhxkhw/edit?usp=sharing"",""ปราจีนบุรี!L333"")"),0)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IFERROR(__xludf.DUMMYFUNCTION("IMPORTRANGE(""https://docs.google.com/spreadsheets/d/1SX6NBoVAgQJ6U1MVXOaj8PK2l7WJ3RER9xtqwdhxkhw/edit?usp=sharing"",""ปราจีนบุรี!M333"")"),0)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IFERROR(__xludf.DUMMYFUNCTION("IMPORTRANGE(""https://docs.google.com/spreadsheets/d/1SX6NBoVAgQJ6U1MVXOaj8PK2l7WJ3RER9xtqwdhxkhw/edit?usp=sharing"",""ปราจีนบุรี!L334"")"),90200)</f>
        <v>90200</v>
      </c>
      <c r="M439" s="169"/>
      <c r="N439" s="169">
        <f ca="1">IFERROR(__xludf.DUMMYFUNCTION("IMPORTRANGE(""https://docs.google.com/spreadsheets/d/1SX6NBoVAgQJ6U1MVXOaj8PK2l7WJ3RER9xtqwdhxkhw/edit?usp=sharing"",""ปราจีนบุรี!M334"")"),64520)</f>
        <v>64520</v>
      </c>
      <c r="O439" s="169">
        <f t="shared" ca="1" si="114"/>
        <v>71.529933481152995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IFERROR(__xludf.DUMMYFUNCTION("IMPORTRANGE(""https://docs.google.com/spreadsheets/d/1SX6NBoVAgQJ6U1MVXOaj8PK2l7WJ3RER9xtqwdhxkhw/edit?usp=sharing"",""ปราจีนบุรี!M335"")"),22240)</f>
        <v>22240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IFERROR(__xludf.DUMMYFUNCTION("IMPORTRANGE(""https://docs.google.com/spreadsheets/d/1SX6NBoVAgQJ6U1MVXOaj8PK2l7WJ3RER9xtqwdhxkhw/edit?usp=sharing"",""ปราจีนบุรี!M336"")"),0)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IFERROR(__xludf.DUMMYFUNCTION("IMPORTRANGE(""https://docs.google.com/spreadsheets/d/1SX6NBoVAgQJ6U1MVXOaj8PK2l7WJ3RER9xtqwdhxkhw/edit?usp=sharing"",""ปราจีนบุรี!M337"")"),0)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IFERROR(__xludf.DUMMYFUNCTION("IMPORTRANGE(""https://docs.google.com/spreadsheets/d/1SX6NBoVAgQJ6U1MVXOaj8PK2l7WJ3RER9xtqwdhxkhw/edit?usp=sharing"",""ปราจีนบุรี!M338"")"),42280)</f>
        <v>42280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IFERROR(__xludf.DUMMYFUNCTION("IMPORTRANGE(""https://docs.google.com/spreadsheets/d/1SX6NBoVAgQJ6U1MVXOaj8PK2l7WJ3RER9xtqwdhxkhw/edit?usp=sharing"",""ปราจีนบุรี!J340"")"),0)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IFERROR(__xludf.DUMMYFUNCTION("IMPORTRANGE(""https://docs.google.com/spreadsheets/d/1SX6NBoVAgQJ6U1MVXOaj8PK2l7WJ3RER9xtqwdhxkhw/edit?usp=sharing"",""ปราจีนบุรี!J341"")"),1)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IFERROR(__xludf.DUMMYFUNCTION("IMPORTRANGE(""https://docs.google.com/spreadsheets/d/1SX6NBoVAgQJ6U1MVXOaj8PK2l7WJ3RER9xtqwdhxkhw/edit?usp=sharing"",""ปราจีนบุรี!J342"")"),1)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IFERROR(__xludf.DUMMYFUNCTION("IMPORTRANGE(""https://docs.google.com/spreadsheets/d/1SX6NBoVAgQJ6U1MVXOaj8PK2l7WJ3RER9xtqwdhxkhw/edit?usp=sharing"",""ปราจีนบุรี!J343"")"),1)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IFERROR(__xludf.DUMMYFUNCTION("IMPORTRANGE(""https://docs.google.com/spreadsheets/d/1SX6NBoVAgQJ6U1MVXOaj8PK2l7WJ3RER9xtqwdhxkhw/edit?usp=sharing"",""ปราจีนบุรี!I344"")"),10)</f>
        <v>10</v>
      </c>
      <c r="J449" s="201">
        <f ca="1">IFERROR(__xludf.DUMMYFUNCTION("IMPORTRANGE(""https://docs.google.com/spreadsheets/d/1SX6NBoVAgQJ6U1MVXOaj8PK2l7WJ3RER9xtqwdhxkhw/edit?usp=sharing"",""ปราจีนบุรี!J344"")"),10)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IFERROR(__xludf.DUMMYFUNCTION("IMPORTRANGE(""https://docs.google.com/spreadsheets/d/1SX6NBoVAgQJ6U1MVXOaj8PK2l7WJ3RER9xtqwdhxkhw/edit?usp=sharing"",""ปราจีนบุรี!I345"")"),10)</f>
        <v>10</v>
      </c>
      <c r="J450" s="189">
        <f ca="1">IFERROR(__xludf.DUMMYFUNCTION("IMPORTRANGE(""https://docs.google.com/spreadsheets/d/1SX6NBoVAgQJ6U1MVXOaj8PK2l7WJ3RER9xtqwdhxkhw/edit?usp=sharing"",""ปราจีนบุรี!J345"")"),10)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IFERROR(__xludf.DUMMYFUNCTION("IMPORTRANGE(""https://docs.google.com/spreadsheets/d/1SX6NBoVAgQJ6U1MVXOaj8PK2l7WJ3RER9xtqwdhxkhw/edit?usp=sharing"",""ปราจีนบุรี!I346"")"),0)</f>
        <v>0</v>
      </c>
      <c r="J451" s="188">
        <f ca="1">IFERROR(__xludf.DUMMYFUNCTION("IMPORTRANGE(""https://docs.google.com/spreadsheets/d/1SX6NBoVAgQJ6U1MVXOaj8PK2l7WJ3RER9xtqwdhxkhw/edit?usp=sharing"",""ปราจีนบุรี!J346"")"),0)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IFERROR(__xludf.DUMMYFUNCTION("IMPORTRANGE(""https://docs.google.com/spreadsheets/d/1SX6NBoVAgQJ6U1MVXOaj8PK2l7WJ3RER9xtqwdhxkhw/edit?usp=sharing"",""ปราจีนบุรี!I347"")"),0)</f>
        <v>0</v>
      </c>
      <c r="J452" s="188">
        <f ca="1">IFERROR(__xludf.DUMMYFUNCTION("IMPORTRANGE(""https://docs.google.com/spreadsheets/d/1SX6NBoVAgQJ6U1MVXOaj8PK2l7WJ3RER9xtqwdhxkhw/edit?usp=sharing"",""ปราจีนบุรี!J347"")"),0)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IFERROR(__xludf.DUMMYFUNCTION("IMPORTRANGE(""https://docs.google.com/spreadsheets/d/1SX6NBoVAgQJ6U1MVXOaj8PK2l7WJ3RER9xtqwdhxkhw/edit?usp=sharing"",""ปราจีนบุรี!J348"")"),0)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IFERROR(__xludf.DUMMYFUNCTION("IMPORTRANGE(""https://docs.google.com/spreadsheets/d/1SX6NBoVAgQJ6U1MVXOaj8PK2l7WJ3RER9xtqwdhxkhw/edit?usp=sharing"",""ปราจีนบุรี!J349"")"),0)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IFERROR(__xludf.DUMMYFUNCTION("IMPORTRANGE(""https://docs.google.com/spreadsheets/d/1SX6NBoVAgQJ6U1MVXOaj8PK2l7WJ3RER9xtqwdhxkhw/edit?usp=sharing"",""ปราจีนบุรี!I350"")"),2324)</f>
        <v>2324</v>
      </c>
      <c r="J455" s="371">
        <f ca="1">IFERROR(__xludf.DUMMYFUNCTION("IMPORTRANGE(""https://docs.google.com/spreadsheets/d/1SX6NBoVAgQJ6U1MVXOaj8PK2l7WJ3RER9xtqwdhxkhw/edit?usp=sharing"",""ปราจีนบุรี!J350"")"),2314.4932)</f>
        <v>2314.4931999999999</v>
      </c>
      <c r="K455" s="372">
        <f ca="1">IF(I455&gt;0,J455*100/I455,0)</f>
        <v>99.590929432013766</v>
      </c>
      <c r="L455" s="373">
        <f ca="1">IFERROR(__xludf.DUMMYFUNCTION("IMPORTRANGE(""https://docs.google.com/spreadsheets/d/1SX6NBoVAgQJ6U1MVXOaj8PK2l7WJ3RER9xtqwdhxkhw/edit?usp=sharing"",""ปราจีนบุรี!L350"")"),52754)</f>
        <v>52754</v>
      </c>
      <c r="M455" s="373"/>
      <c r="N455" s="373">
        <f ca="1">IFERROR(__xludf.DUMMYFUNCTION("IMPORTRANGE(""https://docs.google.com/spreadsheets/d/1SX6NBoVAgQJ6U1MVXOaj8PK2l7WJ3RER9xtqwdhxkhw/edit?usp=sharing"",""ปราจีนบุรี!M350"")"),15145)</f>
        <v>15145</v>
      </c>
      <c r="O455" s="373">
        <f t="shared" ref="O455:O459" ca="1" si="116">+IF(L455&gt;0,N455*100/L455,0)</f>
        <v>28.708723509117792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IFERROR(__xludf.DUMMYFUNCTION("IMPORTRANGE(""https://docs.google.com/spreadsheets/d/1SX6NBoVAgQJ6U1MVXOaj8PK2l7WJ3RER9xtqwdhxkhw/edit?usp=sharing"",""ปราจีนบุรี!L351"")"),0)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IFERROR(__xludf.DUMMYFUNCTION("IMPORTRANGE(""https://docs.google.com/spreadsheets/d/1SX6NBoVAgQJ6U1MVXOaj8PK2l7WJ3RER9xtqwdhxkhw/edit?usp=sharing"",""ปราจีนบุรี!M351"")"),0)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IFERROR(__xludf.DUMMYFUNCTION("IMPORTRANGE(""https://docs.google.com/spreadsheets/d/1SX6NBoVAgQJ6U1MVXOaj8PK2l7WJ3RER9xtqwdhxkhw/edit?usp=sharing"",""ปราจีนบุรี!L352"")"),52754)</f>
        <v>52754</v>
      </c>
      <c r="M457" s="165"/>
      <c r="N457" s="169">
        <f ca="1">IFERROR(__xludf.DUMMYFUNCTION("IMPORTRANGE(""https://docs.google.com/spreadsheets/d/1SX6NBoVAgQJ6U1MVXOaj8PK2l7WJ3RER9xtqwdhxkhw/edit?usp=sharing"",""ปราจีนบุรี!M352"")"),15145)</f>
        <v>15145</v>
      </c>
      <c r="O457" s="169">
        <f t="shared" ca="1" si="116"/>
        <v>28.708723509117792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IFERROR(__xludf.DUMMYFUNCTION("IMPORTRANGE(""https://docs.google.com/spreadsheets/d/1SX6NBoVAgQJ6U1MVXOaj8PK2l7WJ3RER9xtqwdhxkhw/edit?usp=sharing"",""ปราจีนบุรี!L353"")"),0)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IFERROR(__xludf.DUMMYFUNCTION("IMPORTRANGE(""https://docs.google.com/spreadsheets/d/1SX6NBoVAgQJ6U1MVXOaj8PK2l7WJ3RER9xtqwdhxkhw/edit?usp=sharing"",""ปราจีนบุรี!M353"")"),0)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IFERROR(__xludf.DUMMYFUNCTION("IMPORTRANGE(""https://docs.google.com/spreadsheets/d/1SX6NBoVAgQJ6U1MVXOaj8PK2l7WJ3RER9xtqwdhxkhw/edit?usp=sharing"",""ปราจีนบุรี!L354"")"),52754)</f>
        <v>52754</v>
      </c>
      <c r="M459" s="169"/>
      <c r="N459" s="169">
        <f ca="1">IFERROR(__xludf.DUMMYFUNCTION("IMPORTRANGE(""https://docs.google.com/spreadsheets/d/1SX6NBoVAgQJ6U1MVXOaj8PK2l7WJ3RER9xtqwdhxkhw/edit?usp=sharing"",""ปราจีนบุรี!M354"")"),15145)</f>
        <v>15145</v>
      </c>
      <c r="O459" s="169">
        <f t="shared" ca="1" si="116"/>
        <v>28.708723509117792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IFERROR(__xludf.DUMMYFUNCTION("IMPORTRANGE(""https://docs.google.com/spreadsheets/d/1SX6NBoVAgQJ6U1MVXOaj8PK2l7WJ3RER9xtqwdhxkhw/edit?usp=sharing"",""ปราจีนบุรี!M355"")"),0)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IFERROR(__xludf.DUMMYFUNCTION("IMPORTRANGE(""https://docs.google.com/spreadsheets/d/1SX6NBoVAgQJ6U1MVXOaj8PK2l7WJ3RER9xtqwdhxkhw/edit?usp=sharing"",""ปราจีนบุรี!M356"")"),0)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IFERROR(__xludf.DUMMYFUNCTION("IMPORTRANGE(""https://docs.google.com/spreadsheets/d/1SX6NBoVAgQJ6U1MVXOaj8PK2l7WJ3RER9xtqwdhxkhw/edit?usp=sharing"",""ปราจีนบุรี!M357"")"),0)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IFERROR(__xludf.DUMMYFUNCTION("IMPORTRANGE(""https://docs.google.com/spreadsheets/d/1SX6NBoVAgQJ6U1MVXOaj8PK2l7WJ3RER9xtqwdhxkhw/edit?usp=sharing"",""ปราจีนบุรี!M358"")"),15145)</f>
        <v>15145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IFERROR(__xludf.DUMMYFUNCTION("IMPORTRANGE(""https://docs.google.com/spreadsheets/d/1SX6NBoVAgQJ6U1MVXOaj8PK2l7WJ3RER9xtqwdhxkhw/edit?usp=sharing"",""ปราจีนบุรี!I359"")"),2324)</f>
        <v>2324</v>
      </c>
      <c r="J464" s="268">
        <f ca="1">IFERROR(__xludf.DUMMYFUNCTION("IMPORTRANGE(""https://docs.google.com/spreadsheets/d/1SX6NBoVAgQJ6U1MVXOaj8PK2l7WJ3RER9xtqwdhxkhw/edit?usp=sharing"",""ปราจีนบุรี!J359"")"),2314.4932)</f>
        <v>2314.4931999999999</v>
      </c>
      <c r="K464" s="269">
        <f t="shared" ref="K464:K515" ca="1" si="117">IF(I464&gt;0,J464*100/I464,0)</f>
        <v>99.590929432013766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IFERROR(__xludf.DUMMYFUNCTION("IMPORTRANGE(""https://docs.google.com/spreadsheets/d/1SX6NBoVAgQJ6U1MVXOaj8PK2l7WJ3RER9xtqwdhxkhw/edit?usp=sharing"",""ปราจีนบุรี!I360"")"),2324)</f>
        <v>2324</v>
      </c>
      <c r="J465" s="420">
        <f ca="1">IFERROR(__xludf.DUMMYFUNCTION("IMPORTRANGE(""https://docs.google.com/spreadsheets/d/1SX6NBoVAgQJ6U1MVXOaj8PK2l7WJ3RER9xtqwdhxkhw/edit?usp=sharing"",""ปราจีนบุรี!J360"")"),2314.49318)</f>
        <v>2314.4931799999999</v>
      </c>
      <c r="K465" s="202">
        <f t="shared" ca="1" si="117"/>
        <v>99.590928571428577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IFERROR(__xludf.DUMMYFUNCTION("IMPORTRANGE(""https://docs.google.com/spreadsheets/d/1SX6NBoVAgQJ6U1MVXOaj8PK2l7WJ3RER9xtqwdhxkhw/edit?usp=sharing"",""ปราจีนบุรี!I361"")"),141)</f>
        <v>141</v>
      </c>
      <c r="J466" s="420">
        <f ca="1">IFERROR(__xludf.DUMMYFUNCTION("IMPORTRANGE(""https://docs.google.com/spreadsheets/d/1SX6NBoVAgQJ6U1MVXOaj8PK2l7WJ3RER9xtqwdhxkhw/edit?usp=sharing"",""ปราจีนบุรี!J361"")"),141)</f>
        <v>141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IFERROR(__xludf.DUMMYFUNCTION("IMPORTRANGE(""https://docs.google.com/spreadsheets/d/1SX6NBoVAgQJ6U1MVXOaj8PK2l7WJ3RER9xtqwdhxkhw/edit?usp=sharing"",""ปราจีนบุรี!I362"")"),0)</f>
        <v>0</v>
      </c>
      <c r="J467" s="189">
        <f ca="1">IFERROR(__xludf.DUMMYFUNCTION("IMPORTRANGE(""https://docs.google.com/spreadsheets/d/1SX6NBoVAgQJ6U1MVXOaj8PK2l7WJ3RER9xtqwdhxkhw/edit?usp=sharing"",""ปราจีนบุรี!J362"")"),1901.5578)</f>
        <v>1901.5578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IFERROR(__xludf.DUMMYFUNCTION("IMPORTRANGE(""https://docs.google.com/spreadsheets/d/1SX6NBoVAgQJ6U1MVXOaj8PK2l7WJ3RER9xtqwdhxkhw/edit?usp=sharing"",""ปราจีนบุรี!I363"")"),0)</f>
        <v>0</v>
      </c>
      <c r="J468" s="189">
        <f ca="1">IFERROR(__xludf.DUMMYFUNCTION("IMPORTRANGE(""https://docs.google.com/spreadsheets/d/1SX6NBoVAgQJ6U1MVXOaj8PK2l7WJ3RER9xtqwdhxkhw/edit?usp=sharing"",""ปราจีนบุรี!J363"")"),113)</f>
        <v>113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IFERROR(__xludf.DUMMYFUNCTION("IMPORTRANGE(""https://docs.google.com/spreadsheets/d/1SX6NBoVAgQJ6U1MVXOaj8PK2l7WJ3RER9xtqwdhxkhw/edit?usp=sharing"",""ปราจีนบุรี!I364"")"),0)</f>
        <v>0</v>
      </c>
      <c r="J469" s="189">
        <f ca="1">IFERROR(__xludf.DUMMYFUNCTION("IMPORTRANGE(""https://docs.google.com/spreadsheets/d/1SX6NBoVAgQJ6U1MVXOaj8PK2l7WJ3RER9xtqwdhxkhw/edit?usp=sharing"",""ปราจีนบุรี!J364"")"),246.52768)</f>
        <v>246.52768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IFERROR(__xludf.DUMMYFUNCTION("IMPORTRANGE(""https://docs.google.com/spreadsheets/d/1SX6NBoVAgQJ6U1MVXOaj8PK2l7WJ3RER9xtqwdhxkhw/edit?usp=sharing"",""ปราจีนบุรี!I365"")"),0)</f>
        <v>0</v>
      </c>
      <c r="J470" s="189">
        <f ca="1">IFERROR(__xludf.DUMMYFUNCTION("IMPORTRANGE(""https://docs.google.com/spreadsheets/d/1SX6NBoVAgQJ6U1MVXOaj8PK2l7WJ3RER9xtqwdhxkhw/edit?usp=sharing"",""ปราจีนบุรี!J365"")"),14)</f>
        <v>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IFERROR(__xludf.DUMMYFUNCTION("IMPORTRANGE(""https://docs.google.com/spreadsheets/d/1SX6NBoVAgQJ6U1MVXOaj8PK2l7WJ3RER9xtqwdhxkhw/edit?usp=sharing"",""ปราจีนบุรี!I366"")"),0)</f>
        <v>0</v>
      </c>
      <c r="J471" s="189">
        <f ca="1">IFERROR(__xludf.DUMMYFUNCTION("IMPORTRANGE(""https://docs.google.com/spreadsheets/d/1SX6NBoVAgQJ6U1MVXOaj8PK2l7WJ3RER9xtqwdhxkhw/edit?usp=sharing"",""ปราจีนบุรี!J366"")"),166.4077)</f>
        <v>166.40770000000001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IFERROR(__xludf.DUMMYFUNCTION("IMPORTRANGE(""https://docs.google.com/spreadsheets/d/1SX6NBoVAgQJ6U1MVXOaj8PK2l7WJ3RER9xtqwdhxkhw/edit?usp=sharing"",""ปราจีนบุรี!I367"")"),0)</f>
        <v>0</v>
      </c>
      <c r="J472" s="189">
        <f ca="1">IFERROR(__xludf.DUMMYFUNCTION("IMPORTRANGE(""https://docs.google.com/spreadsheets/d/1SX6NBoVAgQJ6U1MVXOaj8PK2l7WJ3RER9xtqwdhxkhw/edit?usp=sharing"",""ปราจีนบุรี!J367"")"),14)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IFERROR(__xludf.DUMMYFUNCTION("IMPORTRANGE(""https://docs.google.com/spreadsheets/d/1SX6NBoVAgQJ6U1MVXOaj8PK2l7WJ3RER9xtqwdhxkhw/edit?usp=sharing"",""ปราจีนบุรี!I368"")"),2324)</f>
        <v>2324</v>
      </c>
      <c r="J473" s="420">
        <f ca="1">IFERROR(__xludf.DUMMYFUNCTION("IMPORTRANGE(""https://docs.google.com/spreadsheets/d/1SX6NBoVAgQJ6U1MVXOaj8PK2l7WJ3RER9xtqwdhxkhw/edit?usp=sharing"",""ปราจีนบุรี!J368"")"),2314.4932)</f>
        <v>2314.4931999999999</v>
      </c>
      <c r="K473" s="202">
        <f t="shared" ca="1" si="117"/>
        <v>99.590929432013766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IFERROR(__xludf.DUMMYFUNCTION("IMPORTRANGE(""https://docs.google.com/spreadsheets/d/1SX6NBoVAgQJ6U1MVXOaj8PK2l7WJ3RER9xtqwdhxkhw/edit?usp=sharing"",""ปราจีนบุรี!I369"")"),141)</f>
        <v>141</v>
      </c>
      <c r="J474" s="420">
        <f ca="1">IFERROR(__xludf.DUMMYFUNCTION("IMPORTRANGE(""https://docs.google.com/spreadsheets/d/1SX6NBoVAgQJ6U1MVXOaj8PK2l7WJ3RER9xtqwdhxkhw/edit?usp=sharing"",""ปราจีนบุรี!J369"")"),141)</f>
        <v>141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IFERROR(__xludf.DUMMYFUNCTION("IMPORTRANGE(""https://docs.google.com/spreadsheets/d/1SX6NBoVAgQJ6U1MVXOaj8PK2l7WJ3RER9xtqwdhxkhw/edit?usp=sharing"",""ปราจีนบุรี!I370"")"),0)</f>
        <v>0</v>
      </c>
      <c r="J475" s="189">
        <f ca="1">IFERROR(__xludf.DUMMYFUNCTION("IMPORTRANGE(""https://docs.google.com/spreadsheets/d/1SX6NBoVAgQJ6U1MVXOaj8PK2l7WJ3RER9xtqwdhxkhw/edit?usp=sharing"",""ปราจีนบุรี!J370"")"),1727.6004)</f>
        <v>1727.6004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IFERROR(__xludf.DUMMYFUNCTION("IMPORTRANGE(""https://docs.google.com/spreadsheets/d/1SX6NBoVAgQJ6U1MVXOaj8PK2l7WJ3RER9xtqwdhxkhw/edit?usp=sharing"",""ปราจีนบุรี!I371"")"),0)</f>
        <v>0</v>
      </c>
      <c r="J476" s="189">
        <f ca="1">IFERROR(__xludf.DUMMYFUNCTION("IMPORTRANGE(""https://docs.google.com/spreadsheets/d/1SX6NBoVAgQJ6U1MVXOaj8PK2l7WJ3RER9xtqwdhxkhw/edit?usp=sharing"",""ปราจีนบุรี!J371"")"),105)</f>
        <v>105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IFERROR(__xludf.DUMMYFUNCTION("IMPORTRANGE(""https://docs.google.com/spreadsheets/d/1SX6NBoVAgQJ6U1MVXOaj8PK2l7WJ3RER9xtqwdhxkhw/edit?usp=sharing"",""ปราจีนบุรี!I372"")"),0)</f>
        <v>0</v>
      </c>
      <c r="J477" s="189">
        <f ca="1">IFERROR(__xludf.DUMMYFUNCTION("IMPORTRANGE(""https://docs.google.com/spreadsheets/d/1SX6NBoVAgQJ6U1MVXOaj8PK2l7WJ3RER9xtqwdhxkhw/edit?usp=sharing"",""ปราจีนบุรี!J372"")"),425.1901)</f>
        <v>425.19009999999997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IFERROR(__xludf.DUMMYFUNCTION("IMPORTRANGE(""https://docs.google.com/spreadsheets/d/1SX6NBoVAgQJ6U1MVXOaj8PK2l7WJ3RER9xtqwdhxkhw/edit?usp=sharing"",""ปราจีนบุรี!I373"")"),0)</f>
        <v>0</v>
      </c>
      <c r="J478" s="189">
        <f ca="1">IFERROR(__xludf.DUMMYFUNCTION("IMPORTRANGE(""https://docs.google.com/spreadsheets/d/1SX6NBoVAgQJ6U1MVXOaj8PK2l7WJ3RER9xtqwdhxkhw/edit?usp=sharing"",""ปราจีนบุรี!J373"")"),21)</f>
        <v>21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IFERROR(__xludf.DUMMYFUNCTION("IMPORTRANGE(""https://docs.google.com/spreadsheets/d/1SX6NBoVAgQJ6U1MVXOaj8PK2l7WJ3RER9xtqwdhxkhw/edit?usp=sharing"",""ปราจีนบุรี!I374"")"),0)</f>
        <v>0</v>
      </c>
      <c r="J479" s="189">
        <f ca="1">IFERROR(__xludf.DUMMYFUNCTION("IMPORTRANGE(""https://docs.google.com/spreadsheets/d/1SX6NBoVAgQJ6U1MVXOaj8PK2l7WJ3RER9xtqwdhxkhw/edit?usp=sharing"",""ปราจีนบุรี!J374"")"),161.7027)</f>
        <v>161.70269999999999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IFERROR(__xludf.DUMMYFUNCTION("IMPORTRANGE(""https://docs.google.com/spreadsheets/d/1SX6NBoVAgQJ6U1MVXOaj8PK2l7WJ3RER9xtqwdhxkhw/edit?usp=sharing"",""ปราจีนบุรี!I375"")"),0)</f>
        <v>0</v>
      </c>
      <c r="J480" s="189">
        <f ca="1">IFERROR(__xludf.DUMMYFUNCTION("IMPORTRANGE(""https://docs.google.com/spreadsheets/d/1SX6NBoVAgQJ6U1MVXOaj8PK2l7WJ3RER9xtqwdhxkhw/edit?usp=sharing"",""ปราจีนบุรี!J375"")"),15)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IFERROR(__xludf.DUMMYFUNCTION("IMPORTRANGE(""https://docs.google.com/spreadsheets/d/1SX6NBoVAgQJ6U1MVXOaj8PK2l7WJ3RER9xtqwdhxkhw/edit?usp=sharing"",""ปราจีนบุรี!I376"")"),2324)</f>
        <v>2324</v>
      </c>
      <c r="J481" s="420">
        <f ca="1">IFERROR(__xludf.DUMMYFUNCTION("IMPORTRANGE(""https://docs.google.com/spreadsheets/d/1SX6NBoVAgQJ6U1MVXOaj8PK2l7WJ3RER9xtqwdhxkhw/edit?usp=sharing"",""ปราจีนบุรี!J376"")"),2314.4932)</f>
        <v>2314.4931999999999</v>
      </c>
      <c r="K481" s="202">
        <f t="shared" ca="1" si="117"/>
        <v>99.590929432013766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IFERROR(__xludf.DUMMYFUNCTION("IMPORTRANGE(""https://docs.google.com/spreadsheets/d/1SX6NBoVAgQJ6U1MVXOaj8PK2l7WJ3RER9xtqwdhxkhw/edit?usp=sharing"",""ปราจีนบุรี!I377"")"),141)</f>
        <v>141</v>
      </c>
      <c r="J482" s="420">
        <f ca="1">IFERROR(__xludf.DUMMYFUNCTION("IMPORTRANGE(""https://docs.google.com/spreadsheets/d/1SX6NBoVAgQJ6U1MVXOaj8PK2l7WJ3RER9xtqwdhxkhw/edit?usp=sharing"",""ปราจีนบุรี!J377"")"),141)</f>
        <v>141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IFERROR(__xludf.DUMMYFUNCTION("IMPORTRANGE(""https://docs.google.com/spreadsheets/d/1SX6NBoVAgQJ6U1MVXOaj8PK2l7WJ3RER9xtqwdhxkhw/edit?usp=sharing"",""ปราจีนบุรี!I378"")"),0)</f>
        <v>0</v>
      </c>
      <c r="J483" s="189">
        <f ca="1">IFERROR(__xludf.DUMMYFUNCTION("IMPORTRANGE(""https://docs.google.com/spreadsheets/d/1SX6NBoVAgQJ6U1MVXOaj8PK2l7WJ3RER9xtqwdhxkhw/edit?usp=sharing"",""ปราจีนบุรี!J378"")"),1727.6004)</f>
        <v>1727.6004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IFERROR(__xludf.DUMMYFUNCTION("IMPORTRANGE(""https://docs.google.com/spreadsheets/d/1SX6NBoVAgQJ6U1MVXOaj8PK2l7WJ3RER9xtqwdhxkhw/edit?usp=sharing"",""ปราจีนบุรี!I379"")"),0)</f>
        <v>0</v>
      </c>
      <c r="J484" s="189">
        <f ca="1">IFERROR(__xludf.DUMMYFUNCTION("IMPORTRANGE(""https://docs.google.com/spreadsheets/d/1SX6NBoVAgQJ6U1MVXOaj8PK2l7WJ3RER9xtqwdhxkhw/edit?usp=sharing"",""ปราจีนบุรี!J379"")"),105)</f>
        <v>105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IFERROR(__xludf.DUMMYFUNCTION("IMPORTRANGE(""https://docs.google.com/spreadsheets/d/1SX6NBoVAgQJ6U1MVXOaj8PK2l7WJ3RER9xtqwdhxkhw/edit?usp=sharing"",""ปราจีนบุรี!I380"")"),0)</f>
        <v>0</v>
      </c>
      <c r="J485" s="189">
        <f ca="1">IFERROR(__xludf.DUMMYFUNCTION("IMPORTRANGE(""https://docs.google.com/spreadsheets/d/1SX6NBoVAgQJ6U1MVXOaj8PK2l7WJ3RER9xtqwdhxkhw/edit?usp=sharing"",""ปราจีนบุรี!J380"")"),425.1901)</f>
        <v>425.19009999999997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IFERROR(__xludf.DUMMYFUNCTION("IMPORTRANGE(""https://docs.google.com/spreadsheets/d/1SX6NBoVAgQJ6U1MVXOaj8PK2l7WJ3RER9xtqwdhxkhw/edit?usp=sharing"",""ปราจีนบุรี!I381"")"),0)</f>
        <v>0</v>
      </c>
      <c r="J486" s="189">
        <f ca="1">IFERROR(__xludf.DUMMYFUNCTION("IMPORTRANGE(""https://docs.google.com/spreadsheets/d/1SX6NBoVAgQJ6U1MVXOaj8PK2l7WJ3RER9xtqwdhxkhw/edit?usp=sharing"",""ปราจีนบุรี!J381"")"),21)</f>
        <v>21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IFERROR(__xludf.DUMMYFUNCTION("IMPORTRANGE(""https://docs.google.com/spreadsheets/d/1SX6NBoVAgQJ6U1MVXOaj8PK2l7WJ3RER9xtqwdhxkhw/edit?usp=sharing"",""ปราจีนบุรี!I382"")"),0)</f>
        <v>0</v>
      </c>
      <c r="J487" s="420">
        <f ca="1">IFERROR(__xludf.DUMMYFUNCTION("IMPORTRANGE(""https://docs.google.com/spreadsheets/d/1SX6NBoVAgQJ6U1MVXOaj8PK2l7WJ3RER9xtqwdhxkhw/edit?usp=sharing"",""ปราจีนบุรี!J382"")"),161.7027)</f>
        <v>161.70269999999999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IFERROR(__xludf.DUMMYFUNCTION("IMPORTRANGE(""https://docs.google.com/spreadsheets/d/1SX6NBoVAgQJ6U1MVXOaj8PK2l7WJ3RER9xtqwdhxkhw/edit?usp=sharing"",""ปราจีนบุรี!I383"")"),0)</f>
        <v>0</v>
      </c>
      <c r="J488" s="420">
        <f ca="1">IFERROR(__xludf.DUMMYFUNCTION("IMPORTRANGE(""https://docs.google.com/spreadsheets/d/1SX6NBoVAgQJ6U1MVXOaj8PK2l7WJ3RER9xtqwdhxkhw/edit?usp=sharing"",""ปราจีนบุรี!J383"")"),15)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IFERROR(__xludf.DUMMYFUNCTION("IMPORTRANGE(""https://docs.google.com/spreadsheets/d/1SX6NBoVAgQJ6U1MVXOaj8PK2l7WJ3RER9xtqwdhxkhw/edit?usp=sharing"",""ปราจีนบุรี!I384"")"),0)</f>
        <v>0</v>
      </c>
      <c r="J489" s="189">
        <f ca="1">IFERROR(__xludf.DUMMYFUNCTION("IMPORTRANGE(""https://docs.google.com/spreadsheets/d/1SX6NBoVAgQJ6U1MVXOaj8PK2l7WJ3RER9xtqwdhxkhw/edit?usp=sharing"",""ปราจีนบุรี!J384"")"),161.7027)</f>
        <v>161.70269999999999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IFERROR(__xludf.DUMMYFUNCTION("IMPORTRANGE(""https://docs.google.com/spreadsheets/d/1SX6NBoVAgQJ6U1MVXOaj8PK2l7WJ3RER9xtqwdhxkhw/edit?usp=sharing"",""ปราจีนบุรี!I385"")"),0)</f>
        <v>0</v>
      </c>
      <c r="J490" s="189">
        <f ca="1">IFERROR(__xludf.DUMMYFUNCTION("IMPORTRANGE(""https://docs.google.com/spreadsheets/d/1SX6NBoVAgQJ6U1MVXOaj8PK2l7WJ3RER9xtqwdhxkhw/edit?usp=sharing"",""ปราจีนบุรี!J385"")"),15)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IFERROR(__xludf.DUMMYFUNCTION("IMPORTRANGE(""https://docs.google.com/spreadsheets/d/1SX6NBoVAgQJ6U1MVXOaj8PK2l7WJ3RER9xtqwdhxkhw/edit?usp=sharing"",""ปราจีนบุรี!I386"")"),0)</f>
        <v>0</v>
      </c>
      <c r="J491" s="189">
        <f ca="1">IFERROR(__xludf.DUMMYFUNCTION("IMPORTRANGE(""https://docs.google.com/spreadsheets/d/1SX6NBoVAgQJ6U1MVXOaj8PK2l7WJ3RER9xtqwdhxkhw/edit?usp=sharing"",""ปราจีนบุรี!J386"")"),0)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IFERROR(__xludf.DUMMYFUNCTION("IMPORTRANGE(""https://docs.google.com/spreadsheets/d/1SX6NBoVAgQJ6U1MVXOaj8PK2l7WJ3RER9xtqwdhxkhw/edit?usp=sharing"",""ปราจีนบุรี!I387"")"),0)</f>
        <v>0</v>
      </c>
      <c r="J492" s="189">
        <f ca="1">IFERROR(__xludf.DUMMYFUNCTION("IMPORTRANGE(""https://docs.google.com/spreadsheets/d/1SX6NBoVAgQJ6U1MVXOaj8PK2l7WJ3RER9xtqwdhxkhw/edit?usp=sharing"",""ปราจีนบุรี!J387"")"),0)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IFERROR(__xludf.DUMMYFUNCTION("IMPORTRANGE(""https://docs.google.com/spreadsheets/d/1SX6NBoVAgQJ6U1MVXOaj8PK2l7WJ3RER9xtqwdhxkhw/edit?usp=sharing"",""ปราจีนบุรี!I388"")"),0)</f>
        <v>0</v>
      </c>
      <c r="J493" s="189">
        <f ca="1">IFERROR(__xludf.DUMMYFUNCTION("IMPORTRANGE(""https://docs.google.com/spreadsheets/d/1SX6NBoVAgQJ6U1MVXOaj8PK2l7WJ3RER9xtqwdhxkhw/edit?usp=sharing"",""ปราจีนบุรี!J388"")"),0)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IFERROR(__xludf.DUMMYFUNCTION("IMPORTRANGE(""https://docs.google.com/spreadsheets/d/1SX6NBoVAgQJ6U1MVXOaj8PK2l7WJ3RER9xtqwdhxkhw/edit?usp=sharing"",""ปราจีนบุรี!I389"")"),0)</f>
        <v>0</v>
      </c>
      <c r="J494" s="436">
        <f ca="1">IFERROR(__xludf.DUMMYFUNCTION("IMPORTRANGE(""https://docs.google.com/spreadsheets/d/1SX6NBoVAgQJ6U1MVXOaj8PK2l7WJ3RER9xtqwdhxkhw/edit?usp=sharing"",""ปราจีนบุรี!J389"")"),0)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IFERROR(__xludf.DUMMYFUNCTION("IMPORTRANGE(""https://docs.google.com/spreadsheets/d/1SX6NBoVAgQJ6U1MVXOaj8PK2l7WJ3RER9xtqwdhxkhw/edit?usp=sharing"",""ปราจีนบุรี!I390"")"),0)</f>
        <v>0</v>
      </c>
      <c r="J495" s="436">
        <f ca="1">IFERROR(__xludf.DUMMYFUNCTION("IMPORTRANGE(""https://docs.google.com/spreadsheets/d/1SX6NBoVAgQJ6U1MVXOaj8PK2l7WJ3RER9xtqwdhxkhw/edit?usp=sharing"",""ปราจีนบุรี!J390"")"),0)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IFERROR(__xludf.DUMMYFUNCTION("IMPORTRANGE(""https://docs.google.com/spreadsheets/d/1SX6NBoVAgQJ6U1MVXOaj8PK2l7WJ3RER9xtqwdhxkhw/edit?usp=sharing"",""ปราจีนบุรี!I391"")"),0)</f>
        <v>0</v>
      </c>
      <c r="J496" s="436">
        <f ca="1">IFERROR(__xludf.DUMMYFUNCTION("IMPORTRANGE(""https://docs.google.com/spreadsheets/d/1SX6NBoVAgQJ6U1MVXOaj8PK2l7WJ3RER9xtqwdhxkhw/edit?usp=sharing"",""ปราจีนบุรี!J391"")"),0)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IFERROR(__xludf.DUMMYFUNCTION("IMPORTRANGE(""https://docs.google.com/spreadsheets/d/1SX6NBoVAgQJ6U1MVXOaj8PK2l7WJ3RER9xtqwdhxkhw/edit?usp=sharing"",""ปราจีนบุรี!I392"")"),20)</f>
        <v>20</v>
      </c>
      <c r="J497" s="443">
        <f ca="1">IFERROR(__xludf.DUMMYFUNCTION("IMPORTRANGE(""https://docs.google.com/spreadsheets/d/1SX6NBoVAgQJ6U1MVXOaj8PK2l7WJ3RER9xtqwdhxkhw/edit?usp=sharing"",""ปราจีนบุรี!J392"")"),20)</f>
        <v>20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IFERROR(__xludf.DUMMYFUNCTION("IMPORTRANGE(""https://docs.google.com/spreadsheets/d/1SX6NBoVAgQJ6U1MVXOaj8PK2l7WJ3RER9xtqwdhxkhw/edit?usp=sharing"",""ปราจีนบุรี!I393"")"),20)</f>
        <v>20</v>
      </c>
      <c r="J498" s="420">
        <f ca="1">IFERROR(__xludf.DUMMYFUNCTION("IMPORTRANGE(""https://docs.google.com/spreadsheets/d/1SX6NBoVAgQJ6U1MVXOaj8PK2l7WJ3RER9xtqwdhxkhw/edit?usp=sharing"",""ปราจีนบุรี!J393"")"),20)</f>
        <v>20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IFERROR(__xludf.DUMMYFUNCTION("IMPORTRANGE(""https://docs.google.com/spreadsheets/d/1SX6NBoVAgQJ6U1MVXOaj8PK2l7WJ3RER9xtqwdhxkhw/edit?usp=sharing"",""ปราจีนบุรี!I394"")"),1)</f>
        <v>1</v>
      </c>
      <c r="J499" s="420">
        <f ca="1">IFERROR(__xludf.DUMMYFUNCTION("IMPORTRANGE(""https://docs.google.com/spreadsheets/d/1SX6NBoVAgQJ6U1MVXOaj8PK2l7WJ3RER9xtqwdhxkhw/edit?usp=sharing"",""ปราจีนบุรี!J394"")"),1)</f>
        <v>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IFERROR(__xludf.DUMMYFUNCTION("IMPORTRANGE(""https://docs.google.com/spreadsheets/d/1SX6NBoVAgQJ6U1MVXOaj8PK2l7WJ3RER9xtqwdhxkhw/edit?usp=sharing"",""ปราจีนบุรี!I395"")"),0)</f>
        <v>0</v>
      </c>
      <c r="J500" s="162">
        <f ca="1">IFERROR(__xludf.DUMMYFUNCTION("IMPORTRANGE(""https://docs.google.com/spreadsheets/d/1SX6NBoVAgQJ6U1MVXOaj8PK2l7WJ3RER9xtqwdhxkhw/edit?usp=sharing"",""ปราจีนบุรี!J395"")"),20)</f>
        <v>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IFERROR(__xludf.DUMMYFUNCTION("IMPORTRANGE(""https://docs.google.com/spreadsheets/d/1SX6NBoVAgQJ6U1MVXOaj8PK2l7WJ3RER9xtqwdhxkhw/edit?usp=sharing"",""ปราจีนบุรี!I396"")"),0)</f>
        <v>0</v>
      </c>
      <c r="J501" s="162">
        <f ca="1">IFERROR(__xludf.DUMMYFUNCTION("IMPORTRANGE(""https://docs.google.com/spreadsheets/d/1SX6NBoVAgQJ6U1MVXOaj8PK2l7WJ3RER9xtqwdhxkhw/edit?usp=sharing"",""ปราจีนบุรี!J396"")"),1)</f>
        <v>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IFERROR(__xludf.DUMMYFUNCTION("IMPORTRANGE(""https://docs.google.com/spreadsheets/d/1SX6NBoVAgQJ6U1MVXOaj8PK2l7WJ3RER9xtqwdhxkhw/edit?usp=sharing"",""ปราจีนบุรี!I397"")"),0)</f>
        <v>0</v>
      </c>
      <c r="J502" s="189">
        <f ca="1">IFERROR(__xludf.DUMMYFUNCTION("IMPORTRANGE(""https://docs.google.com/spreadsheets/d/1SX6NBoVAgQJ6U1MVXOaj8PK2l7WJ3RER9xtqwdhxkhw/edit?usp=sharing"",""ปราจีนบุรี!J397"")"),20)</f>
        <v>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IFERROR(__xludf.DUMMYFUNCTION("IMPORTRANGE(""https://docs.google.com/spreadsheets/d/1SX6NBoVAgQJ6U1MVXOaj8PK2l7WJ3RER9xtqwdhxkhw/edit?usp=sharing"",""ปราจีนบุรี!I398"")"),0)</f>
        <v>0</v>
      </c>
      <c r="J503" s="198">
        <f ca="1">IFERROR(__xludf.DUMMYFUNCTION("IMPORTRANGE(""https://docs.google.com/spreadsheets/d/1SX6NBoVAgQJ6U1MVXOaj8PK2l7WJ3RER9xtqwdhxkhw/edit?usp=sharing"",""ปราจีนบุรี!J398"")"),1)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IFERROR(__xludf.DUMMYFUNCTION("IMPORTRANGE(""https://docs.google.com/spreadsheets/d/1SX6NBoVAgQJ6U1MVXOaj8PK2l7WJ3RER9xtqwdhxkhw/edit?usp=sharing"",""ปราจีนบุรี!I399"")"),0)</f>
        <v>0</v>
      </c>
      <c r="J504" s="189">
        <f ca="1">IFERROR(__xludf.DUMMYFUNCTION("IMPORTRANGE(""https://docs.google.com/spreadsheets/d/1SX6NBoVAgQJ6U1MVXOaj8PK2l7WJ3RER9xtqwdhxkhw/edit?usp=sharing"",""ปราจีนบุรี!J399"")"),0)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IFERROR(__xludf.DUMMYFUNCTION("IMPORTRANGE(""https://docs.google.com/spreadsheets/d/1SX6NBoVAgQJ6U1MVXOaj8PK2l7WJ3RER9xtqwdhxkhw/edit?usp=sharing"",""ปราจีนบุรี!I400"")"),0)</f>
        <v>0</v>
      </c>
      <c r="J505" s="198">
        <f ca="1">IFERROR(__xludf.DUMMYFUNCTION("IMPORTRANGE(""https://docs.google.com/spreadsheets/d/1SX6NBoVAgQJ6U1MVXOaj8PK2l7WJ3RER9xtqwdhxkhw/edit?usp=sharing"",""ปราจีนบุรี!J400"")"),0)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IFERROR(__xludf.DUMMYFUNCTION("IMPORTRANGE(""https://docs.google.com/spreadsheets/d/1SX6NBoVAgQJ6U1MVXOaj8PK2l7WJ3RER9xtqwdhxkhw/edit?usp=sharing"",""ปราจีนบุรี!I401"")"),0)</f>
        <v>0</v>
      </c>
      <c r="J506" s="189">
        <f ca="1">IFERROR(__xludf.DUMMYFUNCTION("IMPORTRANGE(""https://docs.google.com/spreadsheets/d/1SX6NBoVAgQJ6U1MVXOaj8PK2l7WJ3RER9xtqwdhxkhw/edit?usp=sharing"",""ปราจีนบุรี!J401"")"),0)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IFERROR(__xludf.DUMMYFUNCTION("IMPORTRANGE(""https://docs.google.com/spreadsheets/d/1SX6NBoVAgQJ6U1MVXOaj8PK2l7WJ3RER9xtqwdhxkhw/edit?usp=sharing"",""ปราจีนบุรี!I402"")"),0)</f>
        <v>0</v>
      </c>
      <c r="J507" s="198">
        <f ca="1">IFERROR(__xludf.DUMMYFUNCTION("IMPORTRANGE(""https://docs.google.com/spreadsheets/d/1SX6NBoVAgQJ6U1MVXOaj8PK2l7WJ3RER9xtqwdhxkhw/edit?usp=sharing"",""ปราจีนบุรี!J402"")"),0)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IFERROR(__xludf.DUMMYFUNCTION("IMPORTRANGE(""https://docs.google.com/spreadsheets/d/1SX6NBoVAgQJ6U1MVXOaj8PK2l7WJ3RER9xtqwdhxkhw/edit?usp=sharing"",""ปราจีนบุรี!I403"")"),0)</f>
        <v>0</v>
      </c>
      <c r="J508" s="162">
        <f ca="1">IFERROR(__xludf.DUMMYFUNCTION("IMPORTRANGE(""https://docs.google.com/spreadsheets/d/1SX6NBoVAgQJ6U1MVXOaj8PK2l7WJ3RER9xtqwdhxkhw/edit?usp=sharing"",""ปราจีนบุรี!J403"")"),0)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IFERROR(__xludf.DUMMYFUNCTION("IMPORTRANGE(""https://docs.google.com/spreadsheets/d/1SX6NBoVAgQJ6U1MVXOaj8PK2l7WJ3RER9xtqwdhxkhw/edit?usp=sharing"",""ปราจีนบุรี!I404"")"),0)</f>
        <v>0</v>
      </c>
      <c r="J509" s="162">
        <f ca="1">IFERROR(__xludf.DUMMYFUNCTION("IMPORTRANGE(""https://docs.google.com/spreadsheets/d/1SX6NBoVAgQJ6U1MVXOaj8PK2l7WJ3RER9xtqwdhxkhw/edit?usp=sharing"",""ปราจีนบุรี!J404"")"),0)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IFERROR(__xludf.DUMMYFUNCTION("IMPORTRANGE(""https://docs.google.com/spreadsheets/d/1SX6NBoVAgQJ6U1MVXOaj8PK2l7WJ3RER9xtqwdhxkhw/edit?usp=sharing"",""ปราจีนบุรี!I405"")"),0)</f>
        <v>0</v>
      </c>
      <c r="J510" s="198">
        <f ca="1">IFERROR(__xludf.DUMMYFUNCTION("IMPORTRANGE(""https://docs.google.com/spreadsheets/d/1SX6NBoVAgQJ6U1MVXOaj8PK2l7WJ3RER9xtqwdhxkhw/edit?usp=sharing"",""ปราจีนบุรี!J405"")"),0)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IFERROR(__xludf.DUMMYFUNCTION("IMPORTRANGE(""https://docs.google.com/spreadsheets/d/1SX6NBoVAgQJ6U1MVXOaj8PK2l7WJ3RER9xtqwdhxkhw/edit?usp=sharing"",""ปราจีนบุรี!I406"")"),0)</f>
        <v>0</v>
      </c>
      <c r="J511" s="198">
        <f ca="1">IFERROR(__xludf.DUMMYFUNCTION("IMPORTRANGE(""https://docs.google.com/spreadsheets/d/1SX6NBoVAgQJ6U1MVXOaj8PK2l7WJ3RER9xtqwdhxkhw/edit?usp=sharing"",""ปราจีนบุรี!J406"")"),0)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IFERROR(__xludf.DUMMYFUNCTION("IMPORTRANGE(""https://docs.google.com/spreadsheets/d/1SX6NBoVAgQJ6U1MVXOaj8PK2l7WJ3RER9xtqwdhxkhw/edit?usp=sharing"",""ปราจีนบุรี!I407"")"),0)</f>
        <v>0</v>
      </c>
      <c r="J512" s="198">
        <f ca="1">IFERROR(__xludf.DUMMYFUNCTION("IMPORTRANGE(""https://docs.google.com/spreadsheets/d/1SX6NBoVAgQJ6U1MVXOaj8PK2l7WJ3RER9xtqwdhxkhw/edit?usp=sharing"",""ปราจีนบุรี!J407"")"),0)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IFERROR(__xludf.DUMMYFUNCTION("IMPORTRANGE(""https://docs.google.com/spreadsheets/d/1SX6NBoVAgQJ6U1MVXOaj8PK2l7WJ3RER9xtqwdhxkhw/edit?usp=sharing"",""ปราจีนบุรี!I408"")"),0)</f>
        <v>0</v>
      </c>
      <c r="J513" s="198">
        <f ca="1">IFERROR(__xludf.DUMMYFUNCTION("IMPORTRANGE(""https://docs.google.com/spreadsheets/d/1SX6NBoVAgQJ6U1MVXOaj8PK2l7WJ3RER9xtqwdhxkhw/edit?usp=sharing"",""ปราจีนบุรี!J408"")"),0)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IFERROR(__xludf.DUMMYFUNCTION("IMPORTRANGE(""https://docs.google.com/spreadsheets/d/1SX6NBoVAgQJ6U1MVXOaj8PK2l7WJ3RER9xtqwdhxkhw/edit?usp=sharing"",""ปราจีนบุรี!I409"")"),0)</f>
        <v>0</v>
      </c>
      <c r="J514" s="198">
        <f ca="1">IFERROR(__xludf.DUMMYFUNCTION("IMPORTRANGE(""https://docs.google.com/spreadsheets/d/1SX6NBoVAgQJ6U1MVXOaj8PK2l7WJ3RER9xtqwdhxkhw/edit?usp=sharing"",""ปราจีนบุรี!J409"")"),0)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IFERROR(__xludf.DUMMYFUNCTION("IMPORTRANGE(""https://docs.google.com/spreadsheets/d/1SX6NBoVAgQJ6U1MVXOaj8PK2l7WJ3RER9xtqwdhxkhw/edit?usp=sharing"",""ปราจีนบุรี!I410"")"),0)</f>
        <v>0</v>
      </c>
      <c r="J515" s="198">
        <f ca="1">IFERROR(__xludf.DUMMYFUNCTION("IMPORTRANGE(""https://docs.google.com/spreadsheets/d/1SX6NBoVAgQJ6U1MVXOaj8PK2l7WJ3RER9xtqwdhxkhw/edit?usp=sharing"",""ปราจีนบุรี!J410"")"),0)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IFERROR(__xludf.DUMMYFUNCTION("IMPORTRANGE(""https://docs.google.com/spreadsheets/d/1SX6NBoVAgQJ6U1MVXOaj8PK2l7WJ3RER9xtqwdhxkhw/edit?usp=sharing"",""ปราจีนบุรี!I411"")"),0)</f>
        <v>0</v>
      </c>
      <c r="J516" s="268">
        <f ca="1">IFERROR(__xludf.DUMMYFUNCTION("IMPORTRANGE(""https://docs.google.com/spreadsheets/d/1SX6NBoVAgQJ6U1MVXOaj8PK2l7WJ3RER9xtqwdhxkhw/edit?usp=sharing"",""ปราจีนบุรี!J411"")"),0)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IFERROR(__xludf.DUMMYFUNCTION("IMPORTRANGE(""https://docs.google.com/spreadsheets/d/1SX6NBoVAgQJ6U1MVXOaj8PK2l7WJ3RER9xtqwdhxkhw/edit?usp=sharing"",""ปราจีนบุรี!I412"")"),0)</f>
        <v>0</v>
      </c>
      <c r="J517" s="285">
        <f ca="1">IFERROR(__xludf.DUMMYFUNCTION("IMPORTRANGE(""https://docs.google.com/spreadsheets/d/1SX6NBoVAgQJ6U1MVXOaj8PK2l7WJ3RER9xtqwdhxkhw/edit?usp=sharing"",""ปราจีนบุรี!J412"")"),0)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IFERROR(__xludf.DUMMYFUNCTION("IMPORTRANGE(""https://docs.google.com/spreadsheets/d/1SX6NBoVAgQJ6U1MVXOaj8PK2l7WJ3RER9xtqwdhxkhw/edit?usp=sharing"",""ปราจีนบุรี!I413"")"),0)</f>
        <v>0</v>
      </c>
      <c r="J518" s="285">
        <f ca="1">IFERROR(__xludf.DUMMYFUNCTION("IMPORTRANGE(""https://docs.google.com/spreadsheets/d/1SX6NBoVAgQJ6U1MVXOaj8PK2l7WJ3RER9xtqwdhxkhw/edit?usp=sharing"",""ปราจีนบุรี!J413"")"),0)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IFERROR(__xludf.DUMMYFUNCTION("IMPORTRANGE(""https://docs.google.com/spreadsheets/d/1SX6NBoVAgQJ6U1MVXOaj8PK2l7WJ3RER9xtqwdhxkhw/edit?usp=sharing"",""ปราจีนบุรี!I414"")"),0)</f>
        <v>0</v>
      </c>
      <c r="J519" s="188">
        <f ca="1">IFERROR(__xludf.DUMMYFUNCTION("IMPORTRANGE(""https://docs.google.com/spreadsheets/d/1SX6NBoVAgQJ6U1MVXOaj8PK2l7WJ3RER9xtqwdhxkhw/edit?usp=sharing"",""ปราจีนบุรี!J414"")"),0)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IFERROR(__xludf.DUMMYFUNCTION("IMPORTRANGE(""https://docs.google.com/spreadsheets/d/1SX6NBoVAgQJ6U1MVXOaj8PK2l7WJ3RER9xtqwdhxkhw/edit?usp=sharing"",""ปราจีนบุรี!I415"")"),0)</f>
        <v>0</v>
      </c>
      <c r="J520" s="188">
        <f ca="1">IFERROR(__xludf.DUMMYFUNCTION("IMPORTRANGE(""https://docs.google.com/spreadsheets/d/1SX6NBoVAgQJ6U1MVXOaj8PK2l7WJ3RER9xtqwdhxkhw/edit?usp=sharing"",""ปราจีนบุรี!J415"")"),0)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IFERROR(__xludf.DUMMYFUNCTION("IMPORTRANGE(""https://docs.google.com/spreadsheets/d/1SX6NBoVAgQJ6U1MVXOaj8PK2l7WJ3RER9xtqwdhxkhw/edit?usp=sharing"",""ปราจีนบุรี!I416"")"),0)</f>
        <v>0</v>
      </c>
      <c r="J521" s="188">
        <f ca="1">IFERROR(__xludf.DUMMYFUNCTION("IMPORTRANGE(""https://docs.google.com/spreadsheets/d/1SX6NBoVAgQJ6U1MVXOaj8PK2l7WJ3RER9xtqwdhxkhw/edit?usp=sharing"",""ปราจีนบุรี!J416"")"),0)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IFERROR(__xludf.DUMMYFUNCTION("IMPORTRANGE(""https://docs.google.com/spreadsheets/d/1SX6NBoVAgQJ6U1MVXOaj8PK2l7WJ3RER9xtqwdhxkhw/edit?usp=sharing"",""ปราจีนบุรี!I417"")"),0)</f>
        <v>0</v>
      </c>
      <c r="J522" s="188">
        <f ca="1">IFERROR(__xludf.DUMMYFUNCTION("IMPORTRANGE(""https://docs.google.com/spreadsheets/d/1SX6NBoVAgQJ6U1MVXOaj8PK2l7WJ3RER9xtqwdhxkhw/edit?usp=sharing"",""ปราจีนบุรี!J417"")"),0)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IFERROR(__xludf.DUMMYFUNCTION("IMPORTRANGE(""https://docs.google.com/spreadsheets/d/1SX6NBoVAgQJ6U1MVXOaj8PK2l7WJ3RER9xtqwdhxkhw/edit?usp=sharing"",""ปราจีนบุรี!I418"")"),0)</f>
        <v>0</v>
      </c>
      <c r="J523" s="188">
        <f ca="1">IFERROR(__xludf.DUMMYFUNCTION("IMPORTRANGE(""https://docs.google.com/spreadsheets/d/1SX6NBoVAgQJ6U1MVXOaj8PK2l7WJ3RER9xtqwdhxkhw/edit?usp=sharing"",""ปราจีนบุรี!J418"")"),0)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IFERROR(__xludf.DUMMYFUNCTION("IMPORTRANGE(""https://docs.google.com/spreadsheets/d/1SX6NBoVAgQJ6U1MVXOaj8PK2l7WJ3RER9xtqwdhxkhw/edit?usp=sharing"",""ปราจีนบุรี!I419"")"),0)</f>
        <v>0</v>
      </c>
      <c r="J524" s="188">
        <f ca="1">IFERROR(__xludf.DUMMYFUNCTION("IMPORTRANGE(""https://docs.google.com/spreadsheets/d/1SX6NBoVAgQJ6U1MVXOaj8PK2l7WJ3RER9xtqwdhxkhw/edit?usp=sharing"",""ปราจีนบุรี!J419"")"),0)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IFERROR(__xludf.DUMMYFUNCTION("IMPORTRANGE(""https://docs.google.com/spreadsheets/d/1SX6NBoVAgQJ6U1MVXOaj8PK2l7WJ3RER9xtqwdhxkhw/edit?usp=sharing"",""ปราจีนบุรี!I420"")"),0)</f>
        <v>0</v>
      </c>
      <c r="J525" s="285">
        <f ca="1">IFERROR(__xludf.DUMMYFUNCTION("IMPORTRANGE(""https://docs.google.com/spreadsheets/d/1SX6NBoVAgQJ6U1MVXOaj8PK2l7WJ3RER9xtqwdhxkhw/edit?usp=sharing"",""ปราจีนบุรี!J420"")"),0)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IFERROR(__xludf.DUMMYFUNCTION("IMPORTRANGE(""https://docs.google.com/spreadsheets/d/1SX6NBoVAgQJ6U1MVXOaj8PK2l7WJ3RER9xtqwdhxkhw/edit?usp=sharing"",""ปราจีนบุรี!I421"")"),0)</f>
        <v>0</v>
      </c>
      <c r="J526" s="285">
        <f ca="1">IFERROR(__xludf.DUMMYFUNCTION("IMPORTRANGE(""https://docs.google.com/spreadsheets/d/1SX6NBoVAgQJ6U1MVXOaj8PK2l7WJ3RER9xtqwdhxkhw/edit?usp=sharing"",""ปราจีนบุรี!J421"")"),0)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IFERROR(__xludf.DUMMYFUNCTION("IMPORTRANGE(""https://docs.google.com/spreadsheets/d/1SX6NBoVAgQJ6U1MVXOaj8PK2l7WJ3RER9xtqwdhxkhw/edit?usp=sharing"",""ปราจีนบุรี!I422"")"),0)</f>
        <v>0</v>
      </c>
      <c r="J527" s="198">
        <f ca="1">IFERROR(__xludf.DUMMYFUNCTION("IMPORTRANGE(""https://docs.google.com/spreadsheets/d/1SX6NBoVAgQJ6U1MVXOaj8PK2l7WJ3RER9xtqwdhxkhw/edit?usp=sharing"",""ปราจีนบุรี!J422"")"),0)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IFERROR(__xludf.DUMMYFUNCTION("IMPORTRANGE(""https://docs.google.com/spreadsheets/d/1SX6NBoVAgQJ6U1MVXOaj8PK2l7WJ3RER9xtqwdhxkhw/edit?usp=sharing"",""ปราจีนบุรี!I423"")"),0)</f>
        <v>0</v>
      </c>
      <c r="J528" s="198">
        <f ca="1">IFERROR(__xludf.DUMMYFUNCTION("IMPORTRANGE(""https://docs.google.com/spreadsheets/d/1SX6NBoVAgQJ6U1MVXOaj8PK2l7WJ3RER9xtqwdhxkhw/edit?usp=sharing"",""ปราจีนบุรี!J423"")"),0)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IFERROR(__xludf.DUMMYFUNCTION("IMPORTRANGE(""https://docs.google.com/spreadsheets/d/1SX6NBoVAgQJ6U1MVXOaj8PK2l7WJ3RER9xtqwdhxkhw/edit?usp=sharing"",""ปราจีนบุรี!I424"")"),0)</f>
        <v>0</v>
      </c>
      <c r="J529" s="198">
        <f ca="1">IFERROR(__xludf.DUMMYFUNCTION("IMPORTRANGE(""https://docs.google.com/spreadsheets/d/1SX6NBoVAgQJ6U1MVXOaj8PK2l7WJ3RER9xtqwdhxkhw/edit?usp=sharing"",""ปราจีนบุรี!J424"")"),0)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IFERROR(__xludf.DUMMYFUNCTION("IMPORTRANGE(""https://docs.google.com/spreadsheets/d/1SX6NBoVAgQJ6U1MVXOaj8PK2l7WJ3RER9xtqwdhxkhw/edit?usp=sharing"",""ปราจีนบุรี!I425"")"),0)</f>
        <v>0</v>
      </c>
      <c r="J530" s="198">
        <f ca="1">IFERROR(__xludf.DUMMYFUNCTION("IMPORTRANGE(""https://docs.google.com/spreadsheets/d/1SX6NBoVAgQJ6U1MVXOaj8PK2l7WJ3RER9xtqwdhxkhw/edit?usp=sharing"",""ปราจีนบุรี!J425"")"),0)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IFERROR(__xludf.DUMMYFUNCTION("IMPORTRANGE(""https://docs.google.com/spreadsheets/d/1SX6NBoVAgQJ6U1MVXOaj8PK2l7WJ3RER9xtqwdhxkhw/edit?usp=sharing"",""ปราจีนบุรี!I426"")"),0)</f>
        <v>0</v>
      </c>
      <c r="J531" s="198">
        <f ca="1">IFERROR(__xludf.DUMMYFUNCTION("IMPORTRANGE(""https://docs.google.com/spreadsheets/d/1SX6NBoVAgQJ6U1MVXOaj8PK2l7WJ3RER9xtqwdhxkhw/edit?usp=sharing"",""ปราจีนบุรี!J426"")"),0)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IFERROR(__xludf.DUMMYFUNCTION("IMPORTRANGE(""https://docs.google.com/spreadsheets/d/1SX6NBoVAgQJ6U1MVXOaj8PK2l7WJ3RER9xtqwdhxkhw/edit?usp=sharing"",""ปราจีนบุรี!I427"")"),0)</f>
        <v>0</v>
      </c>
      <c r="J532" s="466">
        <f ca="1">IFERROR(__xludf.DUMMYFUNCTION("IMPORTRANGE(""https://docs.google.com/spreadsheets/d/1SX6NBoVAgQJ6U1MVXOaj8PK2l7WJ3RER9xtqwdhxkhw/edit?usp=sharing"",""ปราจีนบุรี!J427"")"),0)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IFERROR(__xludf.DUMMYFUNCTION("IMPORTRANGE(""https://docs.google.com/spreadsheets/d/1SX6NBoVAgQJ6U1MVXOaj8PK2l7WJ3RER9xtqwdhxkhw/edit?usp=sharing"",""ปราจีนบุรี!I428"")"),22)</f>
        <v>22</v>
      </c>
      <c r="J533" s="410">
        <f ca="1">IFERROR(__xludf.DUMMYFUNCTION("IMPORTRANGE(""https://docs.google.com/spreadsheets/d/1SX6NBoVAgQJ6U1MVXOaj8PK2l7WJ3RER9xtqwdhxkhw/edit?usp=sharing"",""ปราจีนบุรี!J428"")"),22)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IFERROR(__xludf.DUMMYFUNCTION("IMPORTRANGE(""https://docs.google.com/spreadsheets/d/1SX6NBoVAgQJ6U1MVXOaj8PK2l7WJ3RER9xtqwdhxkhw/edit?usp=sharing"",""ปราจีนบุรี!L428"")"),34340)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IFERROR(__xludf.DUMMYFUNCTION("IMPORTRANGE(""https://docs.google.com/spreadsheets/d/1SX6NBoVAgQJ6U1MVXOaj8PK2l7WJ3RER9xtqwdhxkhw/edit?usp=sharing"",""ปราจีนบุรี!M428"")"),26700)</f>
        <v>26700</v>
      </c>
      <c r="O533" s="412">
        <f t="shared" ref="O533:O537" ca="1" si="118">+IF(L533&gt;0,N533*100/L533,0)</f>
        <v>77.751892836342464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IFERROR(__xludf.DUMMYFUNCTION("IMPORTRANGE(""https://docs.google.com/spreadsheets/d/1SX6NBoVAgQJ6U1MVXOaj8PK2l7WJ3RER9xtqwdhxkhw/edit?usp=sharing"",""ปราจีนบุรี!L429"")"),0)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IFERROR(__xludf.DUMMYFUNCTION("IMPORTRANGE(""https://docs.google.com/spreadsheets/d/1SX6NBoVAgQJ6U1MVXOaj8PK2l7WJ3RER9xtqwdhxkhw/edit?usp=sharing"",""ปราจีนบุรี!M429"")"),0)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IFERROR(__xludf.DUMMYFUNCTION("IMPORTRANGE(""https://docs.google.com/spreadsheets/d/1SX6NBoVAgQJ6U1MVXOaj8PK2l7WJ3RER9xtqwdhxkhw/edit?usp=sharing"",""ปราจีนบุรี!L430"")"),34340)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IFERROR(__xludf.DUMMYFUNCTION("IMPORTRANGE(""https://docs.google.com/spreadsheets/d/1SX6NBoVAgQJ6U1MVXOaj8PK2l7WJ3RER9xtqwdhxkhw/edit?usp=sharing"",""ปราจีนบุรี!M430"")"),26700)</f>
        <v>26700</v>
      </c>
      <c r="O535" s="169">
        <f t="shared" ca="1" si="118"/>
        <v>77.751892836342464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IFERROR(__xludf.DUMMYFUNCTION("IMPORTRANGE(""https://docs.google.com/spreadsheets/d/1SX6NBoVAgQJ6U1MVXOaj8PK2l7WJ3RER9xtqwdhxkhw/edit?usp=sharing"",""ปราจีนบุรี!L431"")"),0)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IFERROR(__xludf.DUMMYFUNCTION("IMPORTRANGE(""https://docs.google.com/spreadsheets/d/1SX6NBoVAgQJ6U1MVXOaj8PK2l7WJ3RER9xtqwdhxkhw/edit?usp=sharing"",""ปราจีนบุรี!M431"")"),0)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IFERROR(__xludf.DUMMYFUNCTION("IMPORTRANGE(""https://docs.google.com/spreadsheets/d/1SX6NBoVAgQJ6U1MVXOaj8PK2l7WJ3RER9xtqwdhxkhw/edit?usp=sharing"",""ปราจีนบุรี!L432"")"),34340)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IFERROR(__xludf.DUMMYFUNCTION("IMPORTRANGE(""https://docs.google.com/spreadsheets/d/1SX6NBoVAgQJ6U1MVXOaj8PK2l7WJ3RER9xtqwdhxkhw/edit?usp=sharing"",""ปราจีนบุรี!M432"")"),26700)</f>
        <v>26700</v>
      </c>
      <c r="O537" s="169">
        <f t="shared" ca="1" si="118"/>
        <v>77.751892836342464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IFERROR(__xludf.DUMMYFUNCTION("IMPORTRANGE(""https://docs.google.com/spreadsheets/d/1SX6NBoVAgQJ6U1MVXOaj8PK2l7WJ3RER9xtqwdhxkhw/edit?usp=sharing"",""ปราจีนบุรี!M433"")"),19700)</f>
        <v>19700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IFERROR(__xludf.DUMMYFUNCTION("IMPORTRANGE(""https://docs.google.com/spreadsheets/d/1SX6NBoVAgQJ6U1MVXOaj8PK2l7WJ3RER9xtqwdhxkhw/edit?usp=sharing"",""ปราจีนบุรี!M434"")"),0)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IFERROR(__xludf.DUMMYFUNCTION("IMPORTRANGE(""https://docs.google.com/spreadsheets/d/1SX6NBoVAgQJ6U1MVXOaj8PK2l7WJ3RER9xtqwdhxkhw/edit?usp=sharing"",""ปราจีนบุรี!M435"")"),0)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IFERROR(__xludf.DUMMYFUNCTION("IMPORTRANGE(""https://docs.google.com/spreadsheets/d/1SX6NBoVAgQJ6U1MVXOaj8PK2l7WJ3RER9xtqwdhxkhw/edit?usp=sharing"",""ปราจีนบุรี!M436"")"),7000)</f>
        <v>7000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89"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IFERROR(__xludf.DUMMYFUNCTION("IMPORTRANGE(""https://docs.google.com/spreadsheets/d/1SX6NBoVAgQJ6U1MVXOaj8PK2l7WJ3RER9xtqwdhxkhw/edit?usp=sharing"",""ปราจีนบุรี!J439"")"),1)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IFERROR(__xludf.DUMMYFUNCTION("IMPORTRANGE(""https://docs.google.com/spreadsheets/d/1SX6NBoVAgQJ6U1MVXOaj8PK2l7WJ3RER9xtqwdhxkhw/edit?usp=sharing"",""ปราจีนบุรี!J440"")"),1)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IFERROR(__xludf.DUMMYFUNCTION("IMPORTRANGE(""https://docs.google.com/spreadsheets/d/1SX6NBoVAgQJ6U1MVXOaj8PK2l7WJ3RER9xtqwdhxkhw/edit?usp=sharing"",""ปราจีนบุรี!J441"")"),1)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IFERROR(__xludf.DUMMYFUNCTION("IMPORTRANGE(""https://docs.google.com/spreadsheets/d/1SX6NBoVAgQJ6U1MVXOaj8PK2l7WJ3RER9xtqwdhxkhw/edit?usp=sharing"",""ปราจีนบุรี!I442"")"),22)</f>
        <v>22</v>
      </c>
      <c r="J547" s="189">
        <f ca="1">IFERROR(__xludf.DUMMYFUNCTION("IMPORTRANGE(""https://docs.google.com/spreadsheets/d/1SX6NBoVAgQJ6U1MVXOaj8PK2l7WJ3RER9xtqwdhxkhw/edit?usp=sharing"",""ปราจีนบุรี!J442"")"),22)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IFERROR(__xludf.DUMMYFUNCTION("IMPORTRANGE(""https://docs.google.com/spreadsheets/d/1SX6NBoVAgQJ6U1MVXOaj8PK2l7WJ3RER9xtqwdhxkhw/edit?usp=sharing"",""ปราจีนบุรี!J166"")"),0)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IFERROR(__xludf.DUMMYFUNCTION("IMPORTRANGE(""https://docs.google.com/spreadsheets/d/1SX6NBoVAgQJ6U1MVXOaj8PK2l7WJ3RER9xtqwdhxkhw/edit?usp=sharing"",""ปราจีนบุรี!J444"")"),0)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IFERROR(__xludf.DUMMYFUNCTION("IMPORTRANGE(""https://docs.google.com/spreadsheets/d/1SX6NBoVAgQJ6U1MVXOaj8PK2l7WJ3RER9xtqwdhxkhw/edit?usp=sharing"",""ปราจีนบุรี!J445"")"),0)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IFERROR(__xludf.DUMMYFUNCTION("IMPORTRANGE(""https://docs.google.com/spreadsheets/d/1SX6NBoVAgQJ6U1MVXOaj8PK2l7WJ3RER9xtqwdhxkhw/edit?usp=sharing"",""ปราจีนบุรี!I446"")"),0)</f>
        <v>0</v>
      </c>
      <c r="J551" s="410">
        <f ca="1">IFERROR(__xludf.DUMMYFUNCTION("IMPORTRANGE(""https://docs.google.com/spreadsheets/d/1SX6NBoVAgQJ6U1MVXOaj8PK2l7WJ3RER9xtqwdhxkhw/edit?usp=sharing"",""ปราจีนบุรี!J446"")"),0)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IFERROR(__xludf.DUMMYFUNCTION("IMPORTRANGE(""https://docs.google.com/spreadsheets/d/1SX6NBoVAgQJ6U1MVXOaj8PK2l7WJ3RER9xtqwdhxkhw/edit?usp=sharing"",""ปราจีนบุรี!L446"")"),0)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IFERROR(__xludf.DUMMYFUNCTION("IMPORTRANGE(""https://docs.google.com/spreadsheets/d/1SX6NBoVAgQJ6U1MVXOaj8PK2l7WJ3RER9xtqwdhxkhw/edit?usp=sharing"",""ปราจีนบุรี!M446"")"),0)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IFERROR(__xludf.DUMMYFUNCTION("IMPORTRANGE(""https://docs.google.com/spreadsheets/d/1SX6NBoVAgQJ6U1MVXOaj8PK2l7WJ3RER9xtqwdhxkhw/edit?usp=sharing"",""ปราจีนบุรี!L447"")"),0)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IFERROR(__xludf.DUMMYFUNCTION("IMPORTRANGE(""https://docs.google.com/spreadsheets/d/1SX6NBoVAgQJ6U1MVXOaj8PK2l7WJ3RER9xtqwdhxkhw/edit?usp=sharing"",""ปราจีนบุรี!M447"")"),0)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IFERROR(__xludf.DUMMYFUNCTION("IMPORTRANGE(""https://docs.google.com/spreadsheets/d/1SX6NBoVAgQJ6U1MVXOaj8PK2l7WJ3RER9xtqwdhxkhw/edit?usp=sharing"",""ปราจีนบุรี!L448"")"),0)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IFERROR(__xludf.DUMMYFUNCTION("IMPORTRANGE(""https://docs.google.com/spreadsheets/d/1SX6NBoVAgQJ6U1MVXOaj8PK2l7WJ3RER9xtqwdhxkhw/edit?usp=sharing"",""ปราจีนบุรี!M448"")"),0)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IFERROR(__xludf.DUMMYFUNCTION("IMPORTRANGE(""https://docs.google.com/spreadsheets/d/1SX6NBoVAgQJ6U1MVXOaj8PK2l7WJ3RER9xtqwdhxkhw/edit?usp=sharing"",""ปราจีนบุรี!L449"")"),0)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IFERROR(__xludf.DUMMYFUNCTION("IMPORTRANGE(""https://docs.google.com/spreadsheets/d/1SX6NBoVAgQJ6U1MVXOaj8PK2l7WJ3RER9xtqwdhxkhw/edit?usp=sharing"",""ปราจีนบุรี!M449"")"),0)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IFERROR(__xludf.DUMMYFUNCTION("IMPORTRANGE(""https://docs.google.com/spreadsheets/d/1SX6NBoVAgQJ6U1MVXOaj8PK2l7WJ3RER9xtqwdhxkhw/edit?usp=sharing"",""ปราจีนบุรี!L450"")"),0)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IFERROR(__xludf.DUMMYFUNCTION("IMPORTRANGE(""https://docs.google.com/spreadsheets/d/1SX6NBoVAgQJ6U1MVXOaj8PK2l7WJ3RER9xtqwdhxkhw/edit?usp=sharing"",""ปราจีนบุรี!M450"")"),0)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IFERROR(__xludf.DUMMYFUNCTION("IMPORTRANGE(""https://docs.google.com/spreadsheets/d/1SX6NBoVAgQJ6U1MVXOaj8PK2l7WJ3RER9xtqwdhxkhw/edit?usp=sharing"",""ปราจีนบุรี!M451"")"),0)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IFERROR(__xludf.DUMMYFUNCTION("IMPORTRANGE(""https://docs.google.com/spreadsheets/d/1SX6NBoVAgQJ6U1MVXOaj8PK2l7WJ3RER9xtqwdhxkhw/edit?usp=sharing"",""ปราจีนบุรี!M452"")"),0)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IFERROR(__xludf.DUMMYFUNCTION("IMPORTRANGE(""https://docs.google.com/spreadsheets/d/1SX6NBoVAgQJ6U1MVXOaj8PK2l7WJ3RER9xtqwdhxkhw/edit?usp=sharing"",""ปราจีนบุรี!M453"")"),0)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IFERROR(__xludf.DUMMYFUNCTION("IMPORTRANGE(""https://docs.google.com/spreadsheets/d/1SX6NBoVAgQJ6U1MVXOaj8PK2l7WJ3RER9xtqwdhxkhw/edit?usp=sharing"",""ปราจีนบุรี!M454"")"),0)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IFERROR(__xludf.DUMMYFUNCTION("IMPORTRANGE(""https://docs.google.com/spreadsheets/d/1SX6NBoVAgQJ6U1MVXOaj8PK2l7WJ3RER9xtqwdhxkhw/edit?usp=sharing"",""ปราจีนบุรี!I455"")"),0)</f>
        <v>0</v>
      </c>
      <c r="J560" s="162">
        <f ca="1">IFERROR(__xludf.DUMMYFUNCTION("IMPORTRANGE(""https://docs.google.com/spreadsheets/d/1SX6NBoVAgQJ6U1MVXOaj8PK2l7WJ3RER9xtqwdhxkhw/edit?usp=sharing"",""ปราจีนบุรี!J455"")"),0)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IFERROR(__xludf.DUMMYFUNCTION("IMPORTRANGE(""https://docs.google.com/spreadsheets/d/1SX6NBoVAgQJ6U1MVXOaj8PK2l7WJ3RER9xtqwdhxkhw/edit?usp=sharing"",""ปราจีนบุรี!I456"")"),0)</f>
        <v>0</v>
      </c>
      <c r="J561" s="204">
        <f ca="1">IFERROR(__xludf.DUMMYFUNCTION("IMPORTRANGE(""https://docs.google.com/spreadsheets/d/1SX6NBoVAgQJ6U1MVXOaj8PK2l7WJ3RER9xtqwdhxkhw/edit?usp=sharing"",""ปราจีนบุรี!J456"")"),0)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IFERROR(__xludf.DUMMYFUNCTION("IMPORTRANGE(""https://docs.google.com/spreadsheets/d/1SX6NBoVAgQJ6U1MVXOaj8PK2l7WJ3RER9xtqwdhxkhw/edit?usp=sharing"",""ปราจีนบุรี!I459"")"),500)</f>
        <v>500</v>
      </c>
      <c r="J564" s="371">
        <f ca="1">IFERROR(__xludf.DUMMYFUNCTION("IMPORTRANGE(""https://docs.google.com/spreadsheets/d/1SX6NBoVAgQJ6U1MVXOaj8PK2l7WJ3RER9xtqwdhxkhw/edit?usp=sharing"",""ปราจีนบุรี!J459"")"),1725)</f>
        <v>1725</v>
      </c>
      <c r="K564" s="372">
        <f ca="1">IF(I564&gt;0,J564*100/I564,0)</f>
        <v>345</v>
      </c>
      <c r="L564" s="373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3"/>
      <c r="N564" s="373">
        <f ca="1">IFERROR(__xludf.DUMMYFUNCTION("IMPORTRANGE(""https://docs.google.com/spreadsheets/d/1SX6NBoVAgQJ6U1MVXOaj8PK2l7WJ3RER9xtqwdhxkhw/edit?usp=sharing"",""ปราจีนบุรี!M459"")"),55916)</f>
        <v>55916</v>
      </c>
      <c r="O564" s="373">
        <f t="shared" ref="O564:O568" ca="1" si="122">+IF(L564&gt;0,N564*100/L564,0)</f>
        <v>43.521170610211705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IFERROR(__xludf.DUMMYFUNCTION("IMPORTRANGE(""https://docs.google.com/spreadsheets/d/1SX6NBoVAgQJ6U1MVXOaj8PK2l7WJ3RER9xtqwdhxkhw/edit?usp=sharing"",""ปราจีนบุรี!L460"")"),0)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IFERROR(__xludf.DUMMYFUNCTION("IMPORTRANGE(""https://docs.google.com/spreadsheets/d/1SX6NBoVAgQJ6U1MVXOaj8PK2l7WJ3RER9xtqwdhxkhw/edit?usp=sharing"",""ปราจีนบุรี!M460"")"),0)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5"/>
      <c r="N566" s="169">
        <f ca="1">IFERROR(__xludf.DUMMYFUNCTION("IMPORTRANGE(""https://docs.google.com/spreadsheets/d/1SX6NBoVAgQJ6U1MVXOaj8PK2l7WJ3RER9xtqwdhxkhw/edit?usp=sharing"",""ปราจีนบุรี!M461"")"),55916)</f>
        <v>55916</v>
      </c>
      <c r="O566" s="169">
        <f t="shared" ca="1" si="122"/>
        <v>43.521170610211705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IFERROR(__xludf.DUMMYFUNCTION("IMPORTRANGE(""https://docs.google.com/spreadsheets/d/1SX6NBoVAgQJ6U1MVXOaj8PK2l7WJ3RER9xtqwdhxkhw/edit?usp=sharing"",""ปราจีนบุรี!L462"")"),0)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IFERROR(__xludf.DUMMYFUNCTION("IMPORTRANGE(""https://docs.google.com/spreadsheets/d/1SX6NBoVAgQJ6U1MVXOaj8PK2l7WJ3RER9xtqwdhxkhw/edit?usp=sharing"",""ปราจีนบุรี!M462"")"),0)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IFERROR(__xludf.DUMMYFUNCTION("IMPORTRANGE(""https://docs.google.com/spreadsheets/d/1SX6NBoVAgQJ6U1MVXOaj8PK2l7WJ3RER9xtqwdhxkhw/edit?usp=sharing"",""ปราจีนบุรี!L463"")"),128480)</f>
        <v>128480</v>
      </c>
      <c r="M568" s="169"/>
      <c r="N568" s="169">
        <f ca="1">IFERROR(__xludf.DUMMYFUNCTION("IMPORTRANGE(""https://docs.google.com/spreadsheets/d/1SX6NBoVAgQJ6U1MVXOaj8PK2l7WJ3RER9xtqwdhxkhw/edit?usp=sharing"",""ปราจีนบุรี!M463"")"),55916)</f>
        <v>55916</v>
      </c>
      <c r="O568" s="169">
        <f t="shared" ca="1" si="122"/>
        <v>43.521170610211705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IFERROR(__xludf.DUMMYFUNCTION("IMPORTRANGE(""https://docs.google.com/spreadsheets/d/1SX6NBoVAgQJ6U1MVXOaj8PK2l7WJ3RER9xtqwdhxkhw/edit?usp=sharing"",""ปราจีนบุรี!M464"")"),0)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IFERROR(__xludf.DUMMYFUNCTION("IMPORTRANGE(""https://docs.google.com/spreadsheets/d/1SX6NBoVAgQJ6U1MVXOaj8PK2l7WJ3RER9xtqwdhxkhw/edit?usp=sharing"",""ปราจีนบุรี!M465"")"),0)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IFERROR(__xludf.DUMMYFUNCTION("IMPORTRANGE(""https://docs.google.com/spreadsheets/d/1SX6NBoVAgQJ6U1MVXOaj8PK2l7WJ3RER9xtqwdhxkhw/edit?usp=sharing"",""ปราจีนบุรี!M466"")"),55916)</f>
        <v>55916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IFERROR(__xludf.DUMMYFUNCTION("IMPORTRANGE(""https://docs.google.com/spreadsheets/d/1SX6NBoVAgQJ6U1MVXOaj8PK2l7WJ3RER9xtqwdhxkhw/edit?usp=sharing"",""ปราจีนบุรี!M467"")"),0)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IFERROR(__xludf.DUMMYFUNCTION("IMPORTRANGE(""https://docs.google.com/spreadsheets/d/1SX6NBoVAgQJ6U1MVXOaj8PK2l7WJ3RER9xtqwdhxkhw/edit?usp=sharing"",""ปราจีนบุรี!I468"")"),500)</f>
        <v>500</v>
      </c>
      <c r="J573" s="420">
        <f ca="1">IFERROR(__xludf.DUMMYFUNCTION("IMPORTRANGE(""https://docs.google.com/spreadsheets/d/1SX6NBoVAgQJ6U1MVXOaj8PK2l7WJ3RER9xtqwdhxkhw/edit?usp=sharing"",""ปราจีนบุรี!J468"")"),1725)</f>
        <v>1725</v>
      </c>
      <c r="K573" s="202">
        <f ca="1">IF(I573&gt;0,J573*100/I573,0)</f>
        <v>345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IFERROR(__xludf.DUMMYFUNCTION("IMPORTRANGE(""https://docs.google.com/spreadsheets/d/1SX6NBoVAgQJ6U1MVXOaj8PK2l7WJ3RER9xtqwdhxkhw/edit?usp=sharing"",""ปราจีนบุรี!I470"")"),0)</f>
        <v>0</v>
      </c>
      <c r="J575" s="198">
        <f ca="1">IFERROR(__xludf.DUMMYFUNCTION("IMPORTRANGE(""https://docs.google.com/spreadsheets/d/1SX6NBoVAgQJ6U1MVXOaj8PK2l7WJ3RER9xtqwdhxkhw/edit?usp=sharing"",""ปราจีนบุรี!J470"")"),2)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IFERROR(__xludf.DUMMYFUNCTION("IMPORTRANGE(""https://docs.google.com/spreadsheets/d/1SX6NBoVAgQJ6U1MVXOaj8PK2l7WJ3RER9xtqwdhxkhw/edit?usp=sharing"",""ปราจีนบุรี!I471"")"),0)</f>
        <v>0</v>
      </c>
      <c r="J576" s="198">
        <f ca="1">IFERROR(__xludf.DUMMYFUNCTION("IMPORTRANGE(""https://docs.google.com/spreadsheets/d/1SX6NBoVAgQJ6U1MVXOaj8PK2l7WJ3RER9xtqwdhxkhw/edit?usp=sharing"",""ปราจีนบุรี!J471"")"),106)</f>
        <v>106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IFERROR(__xludf.DUMMYFUNCTION("IMPORTRANGE(""https://docs.google.com/spreadsheets/d/1SX6NBoVAgQJ6U1MVXOaj8PK2l7WJ3RER9xtqwdhxkhw/edit?usp=sharing"",""ปราจีนบุรี!I472"")"),0)</f>
        <v>0</v>
      </c>
      <c r="J577" s="189">
        <f ca="1">IFERROR(__xludf.DUMMYFUNCTION("IMPORTRANGE(""https://docs.google.com/spreadsheets/d/1SX6NBoVAgQJ6U1MVXOaj8PK2l7WJ3RER9xtqwdhxkhw/edit?usp=sharing"",""ปราจีนบุรี!J472"")"),1619)</f>
        <v>1619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IFERROR(__xludf.DUMMYFUNCTION("IMPORTRANGE(""https://docs.google.com/spreadsheets/d/1SX6NBoVAgQJ6U1MVXOaj8PK2l7WJ3RER9xtqwdhxkhw/edit?usp=sharing"",""ปราจีนบุรี!I473"")"),0)</f>
        <v>0</v>
      </c>
      <c r="J578" s="198">
        <f ca="1">IFERROR(__xludf.DUMMYFUNCTION("IMPORTRANGE(""https://docs.google.com/spreadsheets/d/1SX6NBoVAgQJ6U1MVXOaj8PK2l7WJ3RER9xtqwdhxkhw/edit?usp=sharing"",""ปราจีนบุรี!J473"")"),0)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IFERROR(__xludf.DUMMYFUNCTION("IMPORTRANGE(""https://docs.google.com/spreadsheets/d/1SX6NBoVAgQJ6U1MVXOaj8PK2l7WJ3RER9xtqwdhxkhw/edit?usp=sharing"",""ปราจีนบุรี!I474"")"),0)</f>
        <v>0</v>
      </c>
      <c r="J579" s="198">
        <f ca="1">IFERROR(__xludf.DUMMYFUNCTION("IMPORTRANGE(""https://docs.google.com/spreadsheets/d/1SX6NBoVAgQJ6U1MVXOaj8PK2l7WJ3RER9xtqwdhxkhw/edit?usp=sharing"",""ปราจีนบุรี!J474"")"),0)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IFERROR(__xludf.DUMMYFUNCTION("IMPORTRANGE(""https://docs.google.com/spreadsheets/d/1SX6NBoVAgQJ6U1MVXOaj8PK2l7WJ3RER9xtqwdhxkhw/edit?usp=sharing"",""ปราจีนบุรี!I475"")"),2)</f>
        <v>2</v>
      </c>
      <c r="J580" s="371">
        <f ca="1">IFERROR(__xludf.DUMMYFUNCTION("IMPORTRANGE(""https://docs.google.com/spreadsheets/d/1SX6NBoVAgQJ6U1MVXOaj8PK2l7WJ3RER9xtqwdhxkhw/edit?usp=sharing"",""ปราจีนบุรี!J475"")"),3)</f>
        <v>3</v>
      </c>
      <c r="K580" s="372">
        <f ca="1">IF(I580&gt;0,J580*100/I580,0)</f>
        <v>150</v>
      </c>
      <c r="L580" s="373">
        <f ca="1">IFERROR(__xludf.DUMMYFUNCTION("IMPORTRANGE(""https://docs.google.com/spreadsheets/d/1SX6NBoVAgQJ6U1MVXOaj8PK2l7WJ3RER9xtqwdhxkhw/edit?usp=sharing"",""ปราจีนบุรี!L475"")"),134902)</f>
        <v>134902</v>
      </c>
      <c r="M580" s="373"/>
      <c r="N580" s="373">
        <f ca="1">IFERROR(__xludf.DUMMYFUNCTION("IMPORTRANGE(""https://docs.google.com/spreadsheets/d/1SX6NBoVAgQJ6U1MVXOaj8PK2l7WJ3RER9xtqwdhxkhw/edit?usp=sharing"",""ปราจีนบุรี!M475"")"),0)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IFERROR(__xludf.DUMMYFUNCTION("IMPORTRANGE(""https://docs.google.com/spreadsheets/d/1SX6NBoVAgQJ6U1MVXOaj8PK2l7WJ3RER9xtqwdhxkhw/edit?usp=sharing"",""ปราจีนบุรี!L476"")"),0)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IFERROR(__xludf.DUMMYFUNCTION("IMPORTRANGE(""https://docs.google.com/spreadsheets/d/1SX6NBoVAgQJ6U1MVXOaj8PK2l7WJ3RER9xtqwdhxkhw/edit?usp=sharing"",""ปราจีนบุรี!M476"")"),0)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IFERROR(__xludf.DUMMYFUNCTION("IMPORTRANGE(""https://docs.google.com/spreadsheets/d/1SX6NBoVAgQJ6U1MVXOaj8PK2l7WJ3RER9xtqwdhxkhw/edit?usp=sharing"",""ปราจีนบุรี!L477"")"),134902)</f>
        <v>134902</v>
      </c>
      <c r="M582" s="165"/>
      <c r="N582" s="169">
        <f ca="1">IFERROR(__xludf.DUMMYFUNCTION("IMPORTRANGE(""https://docs.google.com/spreadsheets/d/1SX6NBoVAgQJ6U1MVXOaj8PK2l7WJ3RER9xtqwdhxkhw/edit?usp=sharing"",""ปราจีนบุรี!M477"")"),0)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IFERROR(__xludf.DUMMYFUNCTION("IMPORTRANGE(""https://docs.google.com/spreadsheets/d/1SX6NBoVAgQJ6U1MVXOaj8PK2l7WJ3RER9xtqwdhxkhw/edit?usp=sharing"",""ปราจีนบุรี!L478"")"),0)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IFERROR(__xludf.DUMMYFUNCTION("IMPORTRANGE(""https://docs.google.com/spreadsheets/d/1SX6NBoVAgQJ6U1MVXOaj8PK2l7WJ3RER9xtqwdhxkhw/edit?usp=sharing"",""ปราจีนบุรี!M478"")"),0)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IFERROR(__xludf.DUMMYFUNCTION("IMPORTRANGE(""https://docs.google.com/spreadsheets/d/1SX6NBoVAgQJ6U1MVXOaj8PK2l7WJ3RER9xtqwdhxkhw/edit?usp=sharing"",""ปราจีนบุรี!L479"")"),134902)</f>
        <v>134902</v>
      </c>
      <c r="M584" s="169"/>
      <c r="N584" s="169">
        <f ca="1">IFERROR(__xludf.DUMMYFUNCTION("IMPORTRANGE(""https://docs.google.com/spreadsheets/d/1SX6NBoVAgQJ6U1MVXOaj8PK2l7WJ3RER9xtqwdhxkhw/edit?usp=sharing"",""ปราจีนบุรี!M479"")"),0)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IFERROR(__xludf.DUMMYFUNCTION("IMPORTRANGE(""https://docs.google.com/spreadsheets/d/1SX6NBoVAgQJ6U1MVXOaj8PK2l7WJ3RER9xtqwdhxkhw/edit?usp=sharing"",""ปราจีนบุรี!M480"")"),0)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IFERROR(__xludf.DUMMYFUNCTION("IMPORTRANGE(""https://docs.google.com/spreadsheets/d/1SX6NBoVAgQJ6U1MVXOaj8PK2l7WJ3RER9xtqwdhxkhw/edit?usp=sharing"",""ปราจีนบุรี!M481"")"),0)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IFERROR(__xludf.DUMMYFUNCTION("IMPORTRANGE(""https://docs.google.com/spreadsheets/d/1SX6NBoVAgQJ6U1MVXOaj8PK2l7WJ3RER9xtqwdhxkhw/edit?usp=sharing"",""ปราจีนบุรี!M482"")"),0)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IFERROR(__xludf.DUMMYFUNCTION("IMPORTRANGE(""https://docs.google.com/spreadsheets/d/1SX6NBoVAgQJ6U1MVXOaj8PK2l7WJ3RER9xtqwdhxkhw/edit?usp=sharing"",""ปราจีนบุรี!M483"")"),0)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IFERROR(__xludf.DUMMYFUNCTION("IMPORTRANGE(""https://docs.google.com/spreadsheets/d/1SX6NBoVAgQJ6U1MVXOaj8PK2l7WJ3RER9xtqwdhxkhw/edit?usp=sharing"",""ปราจีนบุรี!I484"")"),2)</f>
        <v>2</v>
      </c>
      <c r="J589" s="188">
        <f ca="1">IFERROR(__xludf.DUMMYFUNCTION("IMPORTRANGE(""https://docs.google.com/spreadsheets/d/1SX6NBoVAgQJ6U1MVXOaj8PK2l7WJ3RER9xtqwdhxkhw/edit?usp=sharing"",""ปราจีนบุรี!J484"")"),3)</f>
        <v>3</v>
      </c>
      <c r="K589" s="163">
        <f t="shared" ref="K589:K596" ca="1" si="125">IF(I589&gt;0,J589*100/I589,0)</f>
        <v>150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IFERROR(__xludf.DUMMYFUNCTION("IMPORTRANGE(""https://docs.google.com/spreadsheets/d/1SX6NBoVAgQJ6U1MVXOaj8PK2l7WJ3RER9xtqwdhxkhw/edit?usp=sharing"",""ปราจีนบุรี!I485"")"),0)</f>
        <v>0</v>
      </c>
      <c r="J590" s="188">
        <f ca="1">IFERROR(__xludf.DUMMYFUNCTION("IMPORTRANGE(""https://docs.google.com/spreadsheets/d/1SX6NBoVAgQJ6U1MVXOaj8PK2l7WJ3RER9xtqwdhxkhw/edit?usp=sharing"",""ปราจีนบุรี!J485"")"),0.84)</f>
        <v>0.84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IFERROR(__xludf.DUMMYFUNCTION("IMPORTRANGE(""https://docs.google.com/spreadsheets/d/1SX6NBoVAgQJ6U1MVXOaj8PK2l7WJ3RER9xtqwdhxkhw/edit?usp=sharing"",""ปราจีนบุรี!I486"")"),2)</f>
        <v>2</v>
      </c>
      <c r="J591" s="188">
        <f ca="1">IFERROR(__xludf.DUMMYFUNCTION("IMPORTRANGE(""https://docs.google.com/spreadsheets/d/1SX6NBoVAgQJ6U1MVXOaj8PK2l7WJ3RER9xtqwdhxkhw/edit?usp=sharing"",""ปราจีนบุรี!J486"")"),4)</f>
        <v>4</v>
      </c>
      <c r="K591" s="163">
        <f t="shared" ca="1" si="125"/>
        <v>200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IFERROR(__xludf.DUMMYFUNCTION("IMPORTRANGE(""https://docs.google.com/spreadsheets/d/1SX6NBoVAgQJ6U1MVXOaj8PK2l7WJ3RER9xtqwdhxkhw/edit?usp=sharing"",""ปราจีนบุรี!I487"")"),0)</f>
        <v>0</v>
      </c>
      <c r="J592" s="188">
        <f ca="1">IFERROR(__xludf.DUMMYFUNCTION("IMPORTRANGE(""https://docs.google.com/spreadsheets/d/1SX6NBoVAgQJ6U1MVXOaj8PK2l7WJ3RER9xtqwdhxkhw/edit?usp=sharing"",""ปราจีนบุรี!J487"")"),7.84)</f>
        <v>7.84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IFERROR(__xludf.DUMMYFUNCTION("IMPORTRANGE(""https://docs.google.com/spreadsheets/d/1SX6NBoVAgQJ6U1MVXOaj8PK2l7WJ3RER9xtqwdhxkhw/edit?usp=sharing"",""ปราจีนบุรี!I488"")"),2)</f>
        <v>2</v>
      </c>
      <c r="J593" s="188">
        <f ca="1">IFERROR(__xludf.DUMMYFUNCTION("IMPORTRANGE(""https://docs.google.com/spreadsheets/d/1SX6NBoVAgQJ6U1MVXOaj8PK2l7WJ3RER9xtqwdhxkhw/edit?usp=sharing"",""ปราจีนบุรี!J488"")"),0)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IFERROR(__xludf.DUMMYFUNCTION("IMPORTRANGE(""https://docs.google.com/spreadsheets/d/1SX6NBoVAgQJ6U1MVXOaj8PK2l7WJ3RER9xtqwdhxkhw/edit?usp=sharing"",""ปราจีนบุรี!I489"")"),0)</f>
        <v>0</v>
      </c>
      <c r="J594" s="188">
        <f ca="1">IFERROR(__xludf.DUMMYFUNCTION("IMPORTRANGE(""https://docs.google.com/spreadsheets/d/1SX6NBoVAgQJ6U1MVXOaj8PK2l7WJ3RER9xtqwdhxkhw/edit?usp=sharing"",""ปราจีนบุรี!J489"")"),0)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IFERROR(__xludf.DUMMYFUNCTION("IMPORTRANGE(""https://docs.google.com/spreadsheets/d/1SX6NBoVAgQJ6U1MVXOaj8PK2l7WJ3RER9xtqwdhxkhw/edit?usp=sharing"",""ปราจีนบุรี!I490"")"),2)</f>
        <v>2</v>
      </c>
      <c r="J595" s="188">
        <f ca="1">IFERROR(__xludf.DUMMYFUNCTION("IMPORTRANGE(""https://docs.google.com/spreadsheets/d/1SX6NBoVAgQJ6U1MVXOaj8PK2l7WJ3RER9xtqwdhxkhw/edit?usp=sharing"",""ปราจีนบุรี!J490"")"),3)</f>
        <v>3</v>
      </c>
      <c r="K595" s="163">
        <f t="shared" ca="1" si="125"/>
        <v>150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IFERROR(__xludf.DUMMYFUNCTION("IMPORTRANGE(""https://docs.google.com/spreadsheets/d/1SX6NBoVAgQJ6U1MVXOaj8PK2l7WJ3RER9xtqwdhxkhw/edit?usp=sharing"",""ปราจีนบุรี!I491"")"),0)</f>
        <v>0</v>
      </c>
      <c r="J596" s="242">
        <f ca="1">IFERROR(__xludf.DUMMYFUNCTION("IMPORTRANGE(""https://docs.google.com/spreadsheets/d/1SX6NBoVAgQJ6U1MVXOaj8PK2l7WJ3RER9xtqwdhxkhw/edit?usp=sharing"",""ปราจีนบุรี!J491"")"),8.68)</f>
        <v>8.68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IFERROR(__xludf.DUMMYFUNCTION("IMPORTRANGE(""https://docs.google.com/spreadsheets/d/1SX6NBoVAgQJ6U1MVXOaj8PK2l7WJ3RER9xtqwdhxkhw/edit?usp=sharing"",""ปราจีนบุรี!I492"")"),50)</f>
        <v>50</v>
      </c>
      <c r="J597" s="488">
        <f ca="1">IFERROR(__xludf.DUMMYFUNCTION("IMPORTRANGE(""https://docs.google.com/spreadsheets/d/1SX6NBoVAgQJ6U1MVXOaj8PK2l7WJ3RER9xtqwdhxkhw/edit?usp=sharing"",""ปราจีนบุรี!J492"")"),0)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IFERROR(__xludf.DUMMYFUNCTION("IMPORTRANGE(""https://docs.google.com/spreadsheets/d/1SX6NBoVAgQJ6U1MVXOaj8PK2l7WJ3RER9xtqwdhxkhw/edit?usp=sharing"",""ปราจีนบุรี!L492"")"),4550)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IFERROR(__xludf.DUMMYFUNCTION("IMPORTRANGE(""https://docs.google.com/spreadsheets/d/1SX6NBoVAgQJ6U1MVXOaj8PK2l7WJ3RER9xtqwdhxkhw/edit?usp=sharing"",""ปราจีนบุรี!M492"")"),800)</f>
        <v>800</v>
      </c>
      <c r="O597" s="412">
        <f t="shared" ref="O597:O601" ca="1" si="126">+IF(L597&gt;0,N597*100/L597,0)</f>
        <v>17.582417582417584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IFERROR(__xludf.DUMMYFUNCTION("IMPORTRANGE(""https://docs.google.com/spreadsheets/d/1SX6NBoVAgQJ6U1MVXOaj8PK2l7WJ3RER9xtqwdhxkhw/edit?usp=sharing"",""ปราจีนบุรี!L493"")"),0)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IFERROR(__xludf.DUMMYFUNCTION("IMPORTRANGE(""https://docs.google.com/spreadsheets/d/1SX6NBoVAgQJ6U1MVXOaj8PK2l7WJ3RER9xtqwdhxkhw/edit?usp=sharing"",""ปราจีนบุรี!M493"")"),0)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IFERROR(__xludf.DUMMYFUNCTION("IMPORTRANGE(""https://docs.google.com/spreadsheets/d/1SX6NBoVAgQJ6U1MVXOaj8PK2l7WJ3RER9xtqwdhxkhw/edit?usp=sharing"",""ปราจีนบุรี!L494"")"),4550)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IFERROR(__xludf.DUMMYFUNCTION("IMPORTRANGE(""https://docs.google.com/spreadsheets/d/1SX6NBoVAgQJ6U1MVXOaj8PK2l7WJ3RER9xtqwdhxkhw/edit?usp=sharing"",""ปราจีนบุรี!M494"")"),800)</f>
        <v>800</v>
      </c>
      <c r="O599" s="169">
        <f t="shared" ca="1" si="126"/>
        <v>17.582417582417584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IFERROR(__xludf.DUMMYFUNCTION("IMPORTRANGE(""https://docs.google.com/spreadsheets/d/1SX6NBoVAgQJ6U1MVXOaj8PK2l7WJ3RER9xtqwdhxkhw/edit?usp=sharing"",""ปราจีนบุรี!L495"")"),0)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IFERROR(__xludf.DUMMYFUNCTION("IMPORTRANGE(""https://docs.google.com/spreadsheets/d/1SX6NBoVAgQJ6U1MVXOaj8PK2l7WJ3RER9xtqwdhxkhw/edit?usp=sharing"",""ปราจีนบุรี!M495"")"),0)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IFERROR(__xludf.DUMMYFUNCTION("IMPORTRANGE(""https://docs.google.com/spreadsheets/d/1SX6NBoVAgQJ6U1MVXOaj8PK2l7WJ3RER9xtqwdhxkhw/edit?usp=sharing"",""ปราจีนบุรี!L496"")"),4550)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IFERROR(__xludf.DUMMYFUNCTION("IMPORTRANGE(""https://docs.google.com/spreadsheets/d/1SX6NBoVAgQJ6U1MVXOaj8PK2l7WJ3RER9xtqwdhxkhw/edit?usp=sharing"",""ปราจีนบุรี!M496"")"),800)</f>
        <v>800</v>
      </c>
      <c r="O601" s="169">
        <f t="shared" ca="1" si="126"/>
        <v>17.582417582417584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IFERROR(__xludf.DUMMYFUNCTION("IMPORTRANGE(""https://docs.google.com/spreadsheets/d/1SX6NBoVAgQJ6U1MVXOaj8PK2l7WJ3RER9xtqwdhxkhw/edit?usp=sharing"",""ปราจีนบุรี!M497"")"),0)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IFERROR(__xludf.DUMMYFUNCTION("IMPORTRANGE(""https://docs.google.com/spreadsheets/d/1SX6NBoVAgQJ6U1MVXOaj8PK2l7WJ3RER9xtqwdhxkhw/edit?usp=sharing"",""ปราจีนบุรี!M498"")"),0)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IFERROR(__xludf.DUMMYFUNCTION("IMPORTRANGE(""https://docs.google.com/spreadsheets/d/1SX6NBoVAgQJ6U1MVXOaj8PK2l7WJ3RER9xtqwdhxkhw/edit?usp=sharing"",""ปราจีนบุรี!M499"")"),800)</f>
        <v>800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IFERROR(__xludf.DUMMYFUNCTION("IMPORTRANGE(""https://docs.google.com/spreadsheets/d/1SX6NBoVAgQJ6U1MVXOaj8PK2l7WJ3RER9xtqwdhxkhw/edit?usp=sharing"",""ปราจีนบุรี!M500"")"),0)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IFERROR(__xludf.DUMMYFUNCTION("IMPORTRANGE(""https://docs.google.com/spreadsheets/d/1SX6NBoVAgQJ6U1MVXOaj8PK2l7WJ3RER9xtqwdhxkhw/edit?usp=sharing"",""ปราจีนบุรี!J502"")"),0)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IFERROR(__xludf.DUMMYFUNCTION("IMPORTRANGE(""https://docs.google.com/spreadsheets/d/1SX6NBoVAgQJ6U1MVXOaj8PK2l7WJ3RER9xtqwdhxkhw/edit?usp=sharing"",""ปราจีนบุรี!J503"")"),1)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IFERROR(__xludf.DUMMYFUNCTION("IMPORTRANGE(""https://docs.google.com/spreadsheets/d/1SX6NBoVAgQJ6U1MVXOaj8PK2l7WJ3RER9xtqwdhxkhw/edit?usp=sharing"",""ปราจีนบุรี!J166"")"),0)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IFERROR(__xludf.DUMMYFUNCTION("IMPORTRANGE(""https://docs.google.com/spreadsheets/d/1SX6NBoVAgQJ6U1MVXOaj8PK2l7WJ3RER9xtqwdhxkhw/edit?usp=sharing"",""ปราจีนบุรี!J166"")"),0)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IFERROR(__xludf.DUMMYFUNCTION("IMPORTRANGE(""https://docs.google.com/spreadsheets/d/1SX6NBoVAgQJ6U1MVXOaj8PK2l7WJ3RER9xtqwdhxkhw/edit?usp=sharing"",""ปราจีนบุรี!I506"")"),50)</f>
        <v>50</v>
      </c>
      <c r="J611" s="162">
        <f ca="1">IFERROR(__xludf.DUMMYFUNCTION("IMPORTRANGE(""https://docs.google.com/spreadsheets/d/1SX6NBoVAgQJ6U1MVXOaj8PK2l7WJ3RER9xtqwdhxkhw/edit?usp=sharing"",""ปราจีนบุรี!J506"")"),0)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IFERROR(__xludf.DUMMYFUNCTION("IMPORTRANGE(""https://docs.google.com/spreadsheets/d/1SX6NBoVAgQJ6U1MVXOaj8PK2l7WJ3RER9xtqwdhxkhw/edit?usp=sharing"",""ปราจีนบุรี!I507"")"),0)</f>
        <v>0</v>
      </c>
      <c r="J612" s="198">
        <f ca="1">IFERROR(__xludf.DUMMYFUNCTION("IMPORTRANGE(""https://docs.google.com/spreadsheets/d/1SX6NBoVAgQJ6U1MVXOaj8PK2l7WJ3RER9xtqwdhxkhw/edit?usp=sharing"",""ปราจีนบุรี!J507"")"),0)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IFERROR(__xludf.DUMMYFUNCTION("IMPORTRANGE(""https://docs.google.com/spreadsheets/d/1SX6NBoVAgQJ6U1MVXOaj8PK2l7WJ3RER9xtqwdhxkhw/edit?usp=sharing"",""ปราจีนบุรี!I508"")"),0)</f>
        <v>0</v>
      </c>
      <c r="J613" s="198">
        <f ca="1">IFERROR(__xludf.DUMMYFUNCTION("IMPORTRANGE(""https://docs.google.com/spreadsheets/d/1SX6NBoVAgQJ6U1MVXOaj8PK2l7WJ3RER9xtqwdhxkhw/edit?usp=sharing"",""ปราจีนบุรี!J508"")"),0)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IFERROR(__xludf.DUMMYFUNCTION("IMPORTRANGE(""https://docs.google.com/spreadsheets/d/1SX6NBoVAgQJ6U1MVXOaj8PK2l7WJ3RER9xtqwdhxkhw/edit?usp=sharing"",""ปราจีนบุรี!I509"")"),0)</f>
        <v>0</v>
      </c>
      <c r="J614" s="198">
        <f ca="1">IFERROR(__xludf.DUMMYFUNCTION("IMPORTRANGE(""https://docs.google.com/spreadsheets/d/1SX6NBoVAgQJ6U1MVXOaj8PK2l7WJ3RER9xtqwdhxkhw/edit?usp=sharing"",""ปราจีนบุรี!J509"")"),0)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IFERROR(__xludf.DUMMYFUNCTION("IMPORTRANGE(""https://docs.google.com/spreadsheets/d/1SX6NBoVAgQJ6U1MVXOaj8PK2l7WJ3RER9xtqwdhxkhw/edit?usp=sharing"",""ปราจีนบุรี!I510"")"),0)</f>
        <v>0</v>
      </c>
      <c r="J615" s="198">
        <f ca="1">IFERROR(__xludf.DUMMYFUNCTION("IMPORTRANGE(""https://docs.google.com/spreadsheets/d/1SX6NBoVAgQJ6U1MVXOaj8PK2l7WJ3RER9xtqwdhxkhw/edit?usp=sharing"",""ปราจีนบุรี!J510"")"),0)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IFERROR(__xludf.DUMMYFUNCTION("IMPORTRANGE(""https://docs.google.com/spreadsheets/d/1SX6NBoVAgQJ6U1MVXOaj8PK2l7WJ3RER9xtqwdhxkhw/edit?usp=sharing"",""ปราจีนบุรี!I511"")"),0)</f>
        <v>0</v>
      </c>
      <c r="J616" s="198">
        <f ca="1">IFERROR(__xludf.DUMMYFUNCTION("IMPORTRANGE(""https://docs.google.com/spreadsheets/d/1SX6NBoVAgQJ6U1MVXOaj8PK2l7WJ3RER9xtqwdhxkhw/edit?usp=sharing"",""ปราจีนบุรี!J511"")"),0)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IFERROR(__xludf.DUMMYFUNCTION("IMPORTRANGE(""https://docs.google.com/spreadsheets/d/1SX6NBoVAgQJ6U1MVXOaj8PK2l7WJ3RER9xtqwdhxkhw/edit?usp=sharing"",""ปราจีนบุรี!I512"")"),0)</f>
        <v>0</v>
      </c>
      <c r="J617" s="188">
        <f ca="1">IFERROR(__xludf.DUMMYFUNCTION("IMPORTRANGE(""https://docs.google.com/spreadsheets/d/1SX6NBoVAgQJ6U1MVXOaj8PK2l7WJ3RER9xtqwdhxkhw/edit?usp=sharing"",""ปราจีนบุรี!J512"")"),0)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IFERROR(__xludf.DUMMYFUNCTION("IMPORTRANGE(""https://docs.google.com/spreadsheets/d/1SX6NBoVAgQJ6U1MVXOaj8PK2l7WJ3RER9xtqwdhxkhw/edit?usp=sharing"",""ปราจีนบุรี!I513"")"),0)</f>
        <v>0</v>
      </c>
      <c r="J618" s="189">
        <f ca="1">IFERROR(__xludf.DUMMYFUNCTION("IMPORTRANGE(""https://docs.google.com/spreadsheets/d/1SX6NBoVAgQJ6U1MVXOaj8PK2l7WJ3RER9xtqwdhxkhw/edit?usp=sharing"",""ปราจีนบุรี!J513"")"),0)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IFERROR(__xludf.DUMMYFUNCTION("IMPORTRANGE(""https://docs.google.com/spreadsheets/d/1SX6NBoVAgQJ6U1MVXOaj8PK2l7WJ3RER9xtqwdhxkhw/edit?usp=sharing"",""ปราจีนบุรี!I514"")"),0)</f>
        <v>0</v>
      </c>
      <c r="J619" s="189">
        <f ca="1">IFERROR(__xludf.DUMMYFUNCTION("IMPORTRANGE(""https://docs.google.com/spreadsheets/d/1SX6NBoVAgQJ6U1MVXOaj8PK2l7WJ3RER9xtqwdhxkhw/edit?usp=sharing"",""ปราจีนบุรี!J514"")"),0)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IFERROR(__xludf.DUMMYFUNCTION("IMPORTRANGE(""https://docs.google.com/spreadsheets/d/1SX6NBoVAgQJ6U1MVXOaj8PK2l7WJ3RER9xtqwdhxkhw/edit?usp=sharing"",""ปราจีนบุรี!I515"")"),0)</f>
        <v>0</v>
      </c>
      <c r="J620" s="203">
        <f ca="1">IFERROR(__xludf.DUMMYFUNCTION("IMPORTRANGE(""https://docs.google.com/spreadsheets/d/1SX6NBoVAgQJ6U1MVXOaj8PK2l7WJ3RER9xtqwdhxkhw/edit?usp=sharing"",""ปราจีนบุรี!J515"")"),0)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IFERROR(__xludf.DUMMYFUNCTION("IMPORTRANGE(""https://docs.google.com/spreadsheets/d/1SX6NBoVAgQJ6U1MVXOaj8PK2l7WJ3RER9xtqwdhxkhw/edit?usp=sharing"",""ปราจีนบุรี!I516"")"),0)</f>
        <v>0</v>
      </c>
      <c r="J621" s="203">
        <f ca="1">IFERROR(__xludf.DUMMYFUNCTION("IMPORTRANGE(""https://docs.google.com/spreadsheets/d/1SX6NBoVAgQJ6U1MVXOaj8PK2l7WJ3RER9xtqwdhxkhw/edit?usp=sharing"",""ปราจีนบุรี!J516"")"),0)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IFERROR(__xludf.DUMMYFUNCTION("IMPORTRANGE(""https://docs.google.com/spreadsheets/d/1SX6NBoVAgQJ6U1MVXOaj8PK2l7WJ3RER9xtqwdhxkhw/edit?usp=sharing"",""ปราจีนบุรี!I517"")"),0)</f>
        <v>0</v>
      </c>
      <c r="J622" s="189">
        <f ca="1">IFERROR(__xludf.DUMMYFUNCTION("IMPORTRANGE(""https://docs.google.com/spreadsheets/d/1SX6NBoVAgQJ6U1MVXOaj8PK2l7WJ3RER9xtqwdhxkhw/edit?usp=sharing"",""ปราจีนบุรี!J517"")"),0)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IFERROR(__xludf.DUMMYFUNCTION("IMPORTRANGE(""https://docs.google.com/spreadsheets/d/1SX6NBoVAgQJ6U1MVXOaj8PK2l7WJ3RER9xtqwdhxkhw/edit?usp=sharing"",""ปราจีนบุรี!I518"")"),0)</f>
        <v>0</v>
      </c>
      <c r="J623" s="189">
        <f ca="1">IFERROR(__xludf.DUMMYFUNCTION("IMPORTRANGE(""https://docs.google.com/spreadsheets/d/1SX6NBoVAgQJ6U1MVXOaj8PK2l7WJ3RER9xtqwdhxkhw/edit?usp=sharing"",""ปราจีนบุรี!J518"")"),0)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IFERROR(__xludf.DUMMYFUNCTION("IMPORTRANGE(""https://docs.google.com/spreadsheets/d/1SX6NBoVAgQJ6U1MVXOaj8PK2l7WJ3RER9xtqwdhxkhw/edit?usp=sharing"",""ปราจีนบุรี!I519"")"),0)</f>
        <v>0</v>
      </c>
      <c r="J624" s="188">
        <f ca="1">IFERROR(__xludf.DUMMYFUNCTION("IMPORTRANGE(""https://docs.google.com/spreadsheets/d/1SX6NBoVAgQJ6U1MVXOaj8PK2l7WJ3RER9xtqwdhxkhw/edit?usp=sharing"",""ปราจีนบุรี!J519"")"),0)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IFERROR(__xludf.DUMMYFUNCTION("IMPORTRANGE(""https://docs.google.com/spreadsheets/d/1SX6NBoVAgQJ6U1MVXOaj8PK2l7WJ3RER9xtqwdhxkhw/edit?usp=sharing"",""ปราจีนบุรี!I520"")"),0)</f>
        <v>0</v>
      </c>
      <c r="J625" s="189">
        <f ca="1">IFERROR(__xludf.DUMMYFUNCTION("IMPORTRANGE(""https://docs.google.com/spreadsheets/d/1SX6NBoVAgQJ6U1MVXOaj8PK2l7WJ3RER9xtqwdhxkhw/edit?usp=sharing"",""ปราจีนบุรี!J520"")"),0)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IFERROR(__xludf.DUMMYFUNCTION("IMPORTRANGE(""https://docs.google.com/spreadsheets/d/1SX6NBoVAgQJ6U1MVXOaj8PK2l7WJ3RER9xtqwdhxkhw/edit?usp=sharing"",""ปราจีนบุรี!I521"")"),0)</f>
        <v>0</v>
      </c>
      <c r="J626" s="189">
        <f ca="1">IFERROR(__xludf.DUMMYFUNCTION("IMPORTRANGE(""https://docs.google.com/spreadsheets/d/1SX6NBoVAgQJ6U1MVXOaj8PK2l7WJ3RER9xtqwdhxkhw/edit?usp=sharing"",""ปราจีนบุรี!J521"")"),0)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2">
        <f ca="1">IFERROR(__xludf.DUMMYFUNCTION("IMPORTRANGE(""https://docs.google.com/spreadsheets/d/1SX6NBoVAgQJ6U1MVXOaj8PK2l7WJ3RER9xtqwdhxkhw/edit?usp=sharing"",""ปราจีนบุรี!J523"")"),6231151.63)</f>
        <v>6231151.6299999999</v>
      </c>
      <c r="K628" s="343">
        <f t="shared" ref="K628:K635" ca="1" si="129">IF(I628&gt;0,J628*100/I628,0)</f>
        <v>67.576135045850734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IFERROR(__xludf.DUMMYFUNCTION("IMPORTRANGE(""https://docs.google.com/spreadsheets/d/1SX6NBoVAgQJ6U1MVXOaj8PK2l7WJ3RER9xtqwdhxkhw/edit?usp=sharing"",""ปราจีนบุรี!I524"")"),216)</f>
        <v>216</v>
      </c>
      <c r="J629" s="342">
        <f ca="1">IFERROR(__xludf.DUMMYFUNCTION("IMPORTRANGE(""https://docs.google.com/spreadsheets/d/1SX6NBoVAgQJ6U1MVXOaj8PK2l7WJ3RER9xtqwdhxkhw/edit?usp=sharing"",""ปราจีนบุรี!J524"")"),148)</f>
        <v>148</v>
      </c>
      <c r="K629" s="343">
        <f t="shared" ca="1" si="129"/>
        <v>68.518518518518519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2">
        <f ca="1">IFERROR(__xludf.DUMMYFUNCTION("IMPORTRANGE(""https://docs.google.com/spreadsheets/d/1SX6NBoVAgQJ6U1MVXOaj8PK2l7WJ3RER9xtqwdhxkhw/edit?usp=sharing"",""ปราจีนบุรี!J525"")"),743491.44)</f>
        <v>743491.44</v>
      </c>
      <c r="K630" s="343">
        <f t="shared" ca="1" si="129"/>
        <v>11.01102472179452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IFERROR(__xludf.DUMMYFUNCTION("IMPORTRANGE(""https://docs.google.com/spreadsheets/d/1SX6NBoVAgQJ6U1MVXOaj8PK2l7WJ3RER9xtqwdhxkhw/edit?usp=sharing"",""ปราจีนบุรี!I526"")"),154)</f>
        <v>154</v>
      </c>
      <c r="J631" s="342">
        <f ca="1">IFERROR(__xludf.DUMMYFUNCTION("IMPORTRANGE(""https://docs.google.com/spreadsheets/d/1SX6NBoVAgQJ6U1MVXOaj8PK2l7WJ3RER9xtqwdhxkhw/edit?usp=sharing"",""ปราจีนบุรี!J526"")"),59)</f>
        <v>59</v>
      </c>
      <c r="K631" s="343">
        <f t="shared" ca="1" si="129"/>
        <v>38.311688311688314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2">
        <f ca="1">IFERROR(__xludf.DUMMYFUNCTION("IMPORTRANGE(""https://docs.google.com/spreadsheets/d/1SX6NBoVAgQJ6U1MVXOaj8PK2l7WJ3RER9xtqwdhxkhw/edit?usp=sharing"",""ปราจีนบุรี!J527"")"),314227.71)</f>
        <v>314227.71000000002</v>
      </c>
      <c r="K632" s="343">
        <f t="shared" ca="1" si="129"/>
        <v>110.81970465802705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IFERROR(__xludf.DUMMYFUNCTION("IMPORTRANGE(""https://docs.google.com/spreadsheets/d/1SX6NBoVAgQJ6U1MVXOaj8PK2l7WJ3RER9xtqwdhxkhw/edit?usp=sharing"",""ปราจีนบุรี!I528"")"),136)</f>
        <v>136</v>
      </c>
      <c r="J633" s="342">
        <f ca="1">IFERROR(__xludf.DUMMYFUNCTION("IMPORTRANGE(""https://docs.google.com/spreadsheets/d/1SX6NBoVAgQJ6U1MVXOaj8PK2l7WJ3RER9xtqwdhxkhw/edit?usp=sharing"",""ปราจีนบุรี!J528"")"),123)</f>
        <v>123</v>
      </c>
      <c r="K633" s="343">
        <f t="shared" ca="1" si="129"/>
        <v>90.441176470588232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IFERROR(__xludf.DUMMYFUNCTION("IMPORTRANGE(""https://docs.google.com/spreadsheets/d/1SX6NBoVAgQJ6U1MVXOaj8PK2l7WJ3RER9xtqwdhxkhw/edit?usp=sharing"",""ปราจีนบุรี!I529"")"),8786000)</f>
        <v>8786000</v>
      </c>
      <c r="J634" s="342">
        <f ca="1">IFERROR(__xludf.DUMMYFUNCTION("IMPORTRANGE(""https://docs.google.com/spreadsheets/d/1SX6NBoVAgQJ6U1MVXOaj8PK2l7WJ3RER9xtqwdhxkhw/edit?usp=sharing"",""ปราจีนบุรี!J529"")"),5726000)</f>
        <v>5726000</v>
      </c>
      <c r="K634" s="343">
        <f t="shared" ca="1" si="129"/>
        <v>65.171864329615303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IFERROR(__xludf.DUMMYFUNCTION("IMPORTRANGE(""https://docs.google.com/spreadsheets/d/1SX6NBoVAgQJ6U1MVXOaj8PK2l7WJ3RER9xtqwdhxkhw/edit?usp=sharing"",""ปราจีนบุรี!I530"")"),180)</f>
        <v>180</v>
      </c>
      <c r="J635" s="505">
        <f ca="1">IFERROR(__xludf.DUMMYFUNCTION("IMPORTRANGE(""https://docs.google.com/spreadsheets/d/1SX6NBoVAgQJ6U1MVXOaj8PK2l7WJ3RER9xtqwdhxkhw/edit?usp=sharing"",""ปราจีนบุรี!J530"")"),124)</f>
        <v>124</v>
      </c>
      <c r="K635" s="487">
        <f t="shared" ca="1" si="129"/>
        <v>68.888888888888886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111300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111300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111300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IFERROR(__xludf.DUMMYFUNCTION("IMPORTRANGE(""https://docs.google.com/spreadsheets/d/1SX6NBoVAgQJ6U1MVXOaj8PK2l7WJ3RER9xtqwdhxkhw/edit#gid=346597447"",""ปราจีนบุรี!J541"")"),0)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IFERROR(__xludf.DUMMYFUNCTION("IMPORTRANGE(""https://docs.google.com/spreadsheets/d/1SX6NBoVAgQJ6U1MVXOaj8PK2l7WJ3RER9xtqwdhxkhw/edit#gid=346597447"",""ปราจีนบุรี!J542"")"),0)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IFERROR(__xludf.DUMMYFUNCTION("IMPORTRANGE(""https://docs.google.com/spreadsheets/d/1SX6NBoVAgQJ6U1MVXOaj8PK2l7WJ3RER9xtqwdhxkhw/edit#gid=346597447"",""ปราจีนบุรี!I543"")"),493)</f>
        <v>493</v>
      </c>
      <c r="J648" s="537">
        <f ca="1">IFERROR(__xludf.DUMMYFUNCTION("IMPORTRANGE(""https://docs.google.com/spreadsheets/d/1SX6NBoVAgQJ6U1MVXOaj8PK2l7WJ3RER9xtqwdhxkhw/edit#gid=346597447"",""ปราจีนบุรี!J543"")"),0)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2"/>
      <c r="N648" s="539">
        <f ca="1">IFERROR(__xludf.DUMMYFUNCTION("IMPORTRANGE(""https://docs.google.com/spreadsheets/d/1SX6NBoVAgQJ6U1MVXOaj8PK2l7WJ3RER9xtqwdhxkhw/edit#gid=346597447"",""ปราจีนบุรี!M543"")"),0)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IFERROR(__xludf.DUMMYFUNCTION("IMPORTRANGE(""https://docs.google.com/spreadsheets/d/1SX6NBoVAgQJ6U1MVXOaj8PK2l7WJ3RER9xtqwdhxkhw/edit#gid=346597447"",""ปราจีนบุรี!I544"")"),171)</f>
        <v>171</v>
      </c>
      <c r="J649" s="537">
        <f ca="1">IFERROR(__xludf.DUMMYFUNCTION("IMPORTRANGE(""https://docs.google.com/spreadsheets/d/1SX6NBoVAgQJ6U1MVXOaj8PK2l7WJ3RER9xtqwdhxkhw/edit#gid=346597447"",""ปราจีนบุรี!J544"")"),0)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2"/>
      <c r="N649" s="539">
        <f ca="1">IFERROR(__xludf.DUMMYFUNCTION("IMPORTRANGE(""https://docs.google.com/spreadsheets/d/1SX6NBoVAgQJ6U1MVXOaj8PK2l7WJ3RER9xtqwdhxkhw/edit#gid=346597447"",""ปราจีนบุรี!M544"")"),0)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IFERROR(__xludf.DUMMYFUNCTION("IMPORTRANGE(""https://docs.google.com/spreadsheets/d/1SX6NBoVAgQJ6U1MVXOaj8PK2l7WJ3RER9xtqwdhxkhw/edit#gid=346597447"",""ปราจีนบุรี!I545"")"),70)</f>
        <v>70</v>
      </c>
      <c r="J650" s="537">
        <f ca="1">IFERROR(__xludf.DUMMYFUNCTION("IMPORTRANGE(""https://docs.google.com/spreadsheets/d/1SX6NBoVAgQJ6U1MVXOaj8PK2l7WJ3RER9xtqwdhxkhw/edit#gid=346597447"",""ปราจีนบุรี!J545"")"),0)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IFERROR(__xludf.DUMMYFUNCTION("IMPORTRANGE(""https://docs.google.com/spreadsheets/d/1SX6NBoVAgQJ6U1MVXOaj8PK2l7WJ3RER9xtqwdhxkhw/edit#gid=346597447"",""ปราจีนบุรี!L545"")"),350)</f>
        <v>350</v>
      </c>
      <c r="M650" s="522"/>
      <c r="N650" s="539">
        <f ca="1">IFERROR(__xludf.DUMMYFUNCTION("IMPORTRANGE(""https://docs.google.com/spreadsheets/d/1SX6NBoVAgQJ6U1MVXOaj8PK2l7WJ3RER9xtqwdhxkhw/edit#gid=346597447"",""ปราจีนบุรี!M545"")"),0)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IFERROR(__xludf.DUMMYFUNCTION("IMPORTRANGE(""https://docs.google.com/spreadsheets/d/1SX6NBoVAgQJ6U1MVXOaj8PK2l7WJ3RER9xtqwdhxkhw/edit#gid=346597447"",""ปราจีนบุรี!I546"")"),62)</f>
        <v>62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IFERROR(__xludf.DUMMYFUNCTION("IMPORTRANGE(""https://docs.google.com/spreadsheets/d/1SX6NBoVAgQJ6U1MVXOaj8PK2l7WJ3RER9xtqwdhxkhw/edit#gid=346597447"",""ปราจีนบุรี!L546"")"),1550)</f>
        <v>1550</v>
      </c>
      <c r="M651" s="522"/>
      <c r="N651" s="539">
        <f ca="1">IFERROR(__xludf.DUMMYFUNCTION("IMPORTRANGE(""https://docs.google.com/spreadsheets/d/1SX6NBoVAgQJ6U1MVXOaj8PK2l7WJ3RER9xtqwdhxkhw/edit#gid=346597447"",""ปราจีนบุรี!M546"")"),0)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IFERROR(__xludf.DUMMYFUNCTION("IMPORTRANGE(""https://docs.google.com/spreadsheets/d/1SX6NBoVAgQJ6U1MVXOaj8PK2l7WJ3RER9xtqwdhxkhw/edit#gid=346597447"",""ปราจีนบุรี!J547"")"),0)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IFERROR(__xludf.DUMMYFUNCTION("IMPORTRANGE(""https://docs.google.com/spreadsheets/d/1SX6NBoVAgQJ6U1MVXOaj8PK2l7WJ3RER9xtqwdhxkhw/edit#gid=346597447"",""ปราจีนบุรี!J548"")"),0)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IFERROR(__xludf.DUMMYFUNCTION("IMPORTRANGE(""https://docs.google.com/spreadsheets/d/1SX6NBoVAgQJ6U1MVXOaj8PK2l7WJ3RER9xtqwdhxkhw/edit#gid=346597447"",""ปราจีนบุรี!J550"")"),0)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IFERROR(__xludf.DUMMYFUNCTION("IMPORTRANGE(""https://docs.google.com/spreadsheets/d/1SX6NBoVAgQJ6U1MVXOaj8PK2l7WJ3RER9xtqwdhxkhw/edit#gid=346597447"",""ปราจีนบุรี!J551"")"),0)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IFERROR(__xludf.DUMMYFUNCTION("IMPORTRANGE(""https://docs.google.com/spreadsheets/d/1SX6NBoVAgQJ6U1MVXOaj8PK2l7WJ3RER9xtqwdhxkhw/edit#gid=346597447"",""ปราจีนบุรี!J552"")"),0)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IFERROR(__xludf.DUMMYFUNCTION("IMPORTRANGE(""https://docs.google.com/spreadsheets/d/1SX6NBoVAgQJ6U1MVXOaj8PK2l7WJ3RER9xtqwdhxkhw/edit#gid=346597447"",""ปราจีนบุรี!J553"")"),0)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IFERROR(__xludf.DUMMYFUNCTION("IMPORTRANGE(""https://docs.google.com/spreadsheets/d/1SX6NBoVAgQJ6U1MVXOaj8PK2l7WJ3RER9xtqwdhxkhw/edit#gid=346597447"",""ปราจีนบุรี!J554"")"),0)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IFERROR(__xludf.DUMMYFUNCTION("IMPORTRANGE(""https://docs.google.com/spreadsheets/d/1SX6NBoVAgQJ6U1MVXOaj8PK2l7WJ3RER9xtqwdhxkhw/edit#gid=346597447"",""ปราจีนบุรี!J555"")"),0)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IFERROR(__xludf.DUMMYFUNCTION("IMPORTRANGE(""https://docs.google.com/spreadsheets/d/1SX6NBoVAgQJ6U1MVXOaj8PK2l7WJ3RER9xtqwdhxkhw/edit#gid=346597447"",""ปราจีนบุรี!J556"")"),0)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IFERROR(__xludf.DUMMYFUNCTION("IMPORTRANGE(""https://docs.google.com/spreadsheets/d/1SX6NBoVAgQJ6U1MVXOaj8PK2l7WJ3RER9xtqwdhxkhw/edit#gid=346597447"",""ปราจีนบุรี!L556"")"),4000)</f>
        <v>4000</v>
      </c>
      <c r="M661" s="522"/>
      <c r="N661" s="539">
        <f ca="1">IFERROR(__xludf.DUMMYFUNCTION("IMPORTRANGE(""https://docs.google.com/spreadsheets/d/1SX6NBoVAgQJ6U1MVXOaj8PK2l7WJ3RER9xtqwdhxkhw/edit#gid=346597447"",""ปราจีนบุรี!M556"")"),0)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IFERROR(__xludf.DUMMYFUNCTION("IMPORTRANGE(""https://docs.google.com/spreadsheets/d/1SX6NBoVAgQJ6U1MVXOaj8PK2l7WJ3RER9xtqwdhxkhw/edit#gid=346597447"",""ปราจีนบุรี!J557"")"),0)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IFERROR(__xludf.DUMMYFUNCTION("IMPORTRANGE(""https://docs.google.com/spreadsheets/d/1SX6NBoVAgQJ6U1MVXOaj8PK2l7WJ3RER9xtqwdhxkhw/edit#gid=346597447"",""ปราจีนบุรี!I558"")"),100)</f>
        <v>100</v>
      </c>
      <c r="J663" s="537">
        <f ca="1">IFERROR(__xludf.DUMMYFUNCTION("IMPORTRANGE(""https://docs.google.com/spreadsheets/d/1SX6NBoVAgQJ6U1MVXOaj8PK2l7WJ3RER9xtqwdhxkhw/edit#gid=346597447"",""ปราจีนบุรี!J558"")"),0)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IFERROR(__xludf.DUMMYFUNCTION("IMPORTRANGE(""https://docs.google.com/spreadsheets/d/1SX6NBoVAgQJ6U1MVXOaj8PK2l7WJ3RER9xtqwdhxkhw/edit#gid=346597447"",""ปราจีนบุรี!I560"")"),10)</f>
        <v>10</v>
      </c>
      <c r="J665" s="537">
        <f ca="1">IFERROR(__xludf.DUMMYFUNCTION("IMPORTRANGE(""https://docs.google.com/spreadsheets/d/1SX6NBoVAgQJ6U1MVXOaj8PK2l7WJ3RER9xtqwdhxkhw/edit#gid=346597447"",""ปราจีนบุรี!J560"")"),1)</f>
        <v>1</v>
      </c>
      <c r="K665" s="538">
        <f ca="1">IF(I665&gt;0,J665*100/I665,0)</f>
        <v>10</v>
      </c>
      <c r="L665" s="523">
        <f ca="1">IFERROR(__xludf.DUMMYFUNCTION("IMPORTRANGE(""https://docs.google.com/spreadsheets/d/1SX6NBoVAgQJ6U1MVXOaj8PK2l7WJ3RER9xtqwdhxkhw/edit#gid=346597447"",""ปราจีนบุรี!L560"")"),1200)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IFERROR(__xludf.DUMMYFUNCTION("IMPORTRANGE(""https://docs.google.com/spreadsheets/d/1SX6NBoVAgQJ6U1MVXOaj8PK2l7WJ3RER9xtqwdhxkhw/edit#gid=346597447"",""ปราจีนบุรี!M560"")"),0)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IFERROR(__xludf.DUMMYFUNCTION("IMPORTRANGE(""https://docs.google.com/spreadsheets/d/1SX6NBoVAgQJ6U1MVXOaj8PK2l7WJ3RER9xtqwdhxkhw/edit#gid=346597447"",""ปราจีนบุรี!J561"")"),1)</f>
        <v>1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IFERROR(__xludf.DUMMYFUNCTION("IMPORTRANGE(""https://docs.google.com/spreadsheets/d/1SX6NBoVAgQJ6U1MVXOaj8PK2l7WJ3RER9xtqwdhxkhw/edit#gid=346597447"",""ปราจีนบุรี!I563"")"),40)</f>
        <v>40</v>
      </c>
      <c r="J668" s="537">
        <f ca="1">IFERROR(__xludf.DUMMYFUNCTION("IMPORTRANGE(""https://docs.google.com/spreadsheets/d/1SX6NBoVAgQJ6U1MVXOaj8PK2l7WJ3RER9xtqwdhxkhw/edit#gid=346597447"",""ปราจีนบุรี!J563"")"),0)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2"/>
      <c r="N668" s="539">
        <f ca="1">IFERROR(__xludf.DUMMYFUNCTION("IMPORTRANGE(""https://docs.google.com/spreadsheets/d/1SX6NBoVAgQJ6U1MVXOaj8PK2l7WJ3RER9xtqwdhxkhw/edit#gid=346597447"",""ปราจีนบุรี!M563"")"),0)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IFERROR(__xludf.DUMMYFUNCTION("IMPORTRANGE(""https://docs.google.com/spreadsheets/d/1SX6NBoVAgQJ6U1MVXOaj8PK2l7WJ3RER9xtqwdhxkhw/edit#gid=346597447"",""ปราจีนบุรี!J564"")"),0)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IFERROR(__xludf.DUMMYFUNCTION("IMPORTRANGE(""https://docs.google.com/spreadsheets/d/1SX6NBoVAgQJ6U1MVXOaj8PK2l7WJ3RER9xtqwdhxkhw/edit#gid=346597447"",""ปราจีนบุรี!J565"")"),0)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IFERROR(__xludf.DUMMYFUNCTION("IMPORTRANGE(""https://docs.google.com/spreadsheets/d/1SX6NBoVAgQJ6U1MVXOaj8PK2l7WJ3RER9xtqwdhxkhw/edit#gid=346597447"",""ปราจีนบุรี!I566"")"),93)</f>
        <v>93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IFERROR(__xludf.DUMMYFUNCTION("IMPORTRANGE(""https://docs.google.com/spreadsheets/d/1SX6NBoVAgQJ6U1MVXOaj8PK2l7WJ3RER9xtqwdhxkhw/edit#gid=346597447"",""ปราจีนบุรี!L566"")"),7440)</f>
        <v>7440</v>
      </c>
      <c r="M671" s="522"/>
      <c r="N671" s="539">
        <f ca="1">IFERROR(__xludf.DUMMYFUNCTION("IMPORTRANGE(""https://docs.google.com/spreadsheets/d/1SX6NBoVAgQJ6U1MVXOaj8PK2l7WJ3RER9xtqwdhxkhw/edit#gid=346597447"",""ปราจีนบุรี!M566"")"),0)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IFERROR(__xludf.DUMMYFUNCTION("IMPORTRANGE(""https://docs.google.com/spreadsheets/d/1SX6NBoVAgQJ6U1MVXOaj8PK2l7WJ3RER9xtqwdhxkhw/edit#gid=346597447"",""ปราจีนบุรี!J567"")"),0)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IFERROR(__xludf.DUMMYFUNCTION("IMPORTRANGE(""https://docs.google.com/spreadsheets/d/1SX6NBoVAgQJ6U1MVXOaj8PK2l7WJ3RER9xtqwdhxkhw/edit#gid=346597447"",""ปราจีนบุรี!J568"")"),0)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IFERROR(__xludf.DUMMYFUNCTION("IMPORTRANGE(""https://docs.google.com/spreadsheets/d/1SX6NBoVAgQJ6U1MVXOaj8PK2l7WJ3RER9xtqwdhxkhw/edit#gid=346597447"",""ปราจีนบุรี!J569"")"),0)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IFERROR(__xludf.DUMMYFUNCTION("IMPORTRANGE(""https://docs.google.com/spreadsheets/d/1SX6NBoVAgQJ6U1MVXOaj8PK2l7WJ3RER9xtqwdhxkhw/edit#gid=346597447"",""ปราจีนบุรี!J570"")"),0)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IFERROR(__xludf.DUMMYFUNCTION("IMPORTRANGE(""https://docs.google.com/spreadsheets/d/1SX6NBoVAgQJ6U1MVXOaj8PK2l7WJ3RER9xtqwdhxkhw/edit#gid=346597447"",""ปราจีนบุรี!J571"")"),0)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IFERROR(__xludf.DUMMYFUNCTION("IMPORTRANGE(""https://docs.google.com/spreadsheets/d/1SX6NBoVAgQJ6U1MVXOaj8PK2l7WJ3RER9xtqwdhxkhw/edit#gid=346597447"",""ปราจีนบุรี!J572"")"),0)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3283195</v>
      </c>
      <c r="M8" s="23">
        <f t="shared" ca="1" si="0"/>
        <v>2740946</v>
      </c>
      <c r="N8" s="23">
        <f t="shared" ca="1" si="0"/>
        <v>2686300.34</v>
      </c>
      <c r="O8" s="22">
        <f t="shared" ref="O8:O16" ca="1" si="1">IF(L8&gt;0,N8*100/L8,0)</f>
        <v>81.819701236143459</v>
      </c>
      <c r="P8" s="22">
        <f t="shared" ref="P8:P16" ca="1" si="2">IF(M8&gt;0,N8*100/M8,0)</f>
        <v>98.006321175243869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3283195</v>
      </c>
      <c r="M10" s="30">
        <f t="shared" ca="1" si="4"/>
        <v>2740946</v>
      </c>
      <c r="N10" s="30">
        <f t="shared" ca="1" si="4"/>
        <v>2686300.34</v>
      </c>
      <c r="O10" s="29">
        <f t="shared" ca="1" si="1"/>
        <v>81.819701236143459</v>
      </c>
      <c r="P10" s="29">
        <f t="shared" ca="1" si="2"/>
        <v>98.006321175243869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3229995</v>
      </c>
      <c r="M12" s="38">
        <f t="shared" ca="1" si="6"/>
        <v>2687746</v>
      </c>
      <c r="N12" s="38">
        <f t="shared" ca="1" si="6"/>
        <v>2633100.34</v>
      </c>
      <c r="O12" s="38">
        <f t="shared" ca="1" si="1"/>
        <v>81.520260557678881</v>
      </c>
      <c r="P12" s="38">
        <f t="shared" ca="1" si="2"/>
        <v>97.966859219583995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1551000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1678995</v>
      </c>
      <c r="M14" s="38">
        <f t="shared" si="8"/>
        <v>0</v>
      </c>
      <c r="N14" s="38">
        <f t="shared" ca="1" si="8"/>
        <v>431135.12000000005</v>
      </c>
      <c r="O14" s="38">
        <f t="shared" ca="1" si="1"/>
        <v>25.678165807521765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53200</v>
      </c>
      <c r="M16" s="38">
        <f t="shared" ca="1" si="10"/>
        <v>53200</v>
      </c>
      <c r="N16" s="38">
        <f t="shared" ca="1" si="10"/>
        <v>53200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2647248</v>
      </c>
      <c r="M18" s="23">
        <f t="shared" ca="1" si="11"/>
        <v>2740946</v>
      </c>
      <c r="N18" s="23">
        <f t="shared" ca="1" si="11"/>
        <v>2255165.2199999997</v>
      </c>
      <c r="O18" s="22">
        <f t="shared" ref="O18:O20" ca="1" si="12">IF(L18&gt;0,N18*100/L18,0)</f>
        <v>85.189042356439586</v>
      </c>
      <c r="P18" s="22">
        <f t="shared" ref="P18:P26" ca="1" si="13">IF(M18&gt;0,N18*100/M18,0)</f>
        <v>82.276893452114692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2647248</v>
      </c>
      <c r="M20" s="30">
        <f t="shared" ca="1" si="15"/>
        <v>2740946</v>
      </c>
      <c r="N20" s="30">
        <f t="shared" ca="1" si="15"/>
        <v>2255165.2199999997</v>
      </c>
      <c r="O20" s="29">
        <f t="shared" ca="1" si="12"/>
        <v>85.189042356439586</v>
      </c>
      <c r="P20" s="29">
        <f t="shared" ca="1" si="13"/>
        <v>82.276893452114692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2594048</v>
      </c>
      <c r="M22" s="41">
        <f t="shared" ca="1" si="18"/>
        <v>2687746</v>
      </c>
      <c r="N22" s="38">
        <f t="shared" ca="1" si="18"/>
        <v>2201965.2199999997</v>
      </c>
      <c r="O22" s="38">
        <f t="shared" ca="1" si="17"/>
        <v>84.885292022352701</v>
      </c>
      <c r="P22" s="38">
        <f t="shared" ca="1" si="13"/>
        <v>81.926090486228972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1551000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1043048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53200</v>
      </c>
      <c r="M26" s="49">
        <f t="shared" ca="1" si="22"/>
        <v>53200</v>
      </c>
      <c r="N26" s="49">
        <f t="shared" ca="1" si="22"/>
        <v>53200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635947</v>
      </c>
      <c r="M28" s="23">
        <f t="shared" si="23"/>
        <v>0</v>
      </c>
      <c r="N28" s="23">
        <f t="shared" ca="1" si="23"/>
        <v>431135.12000000005</v>
      </c>
      <c r="O28" s="22">
        <f t="shared" ref="O28:O30" ca="1" si="24">IF(L28&gt;0,N28*100/L28,0)</f>
        <v>67.794190396369515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635947</v>
      </c>
      <c r="M30" s="30">
        <f t="shared" si="27"/>
        <v>0</v>
      </c>
      <c r="N30" s="30">
        <f t="shared" ca="1" si="27"/>
        <v>431135.12000000005</v>
      </c>
      <c r="O30" s="29">
        <f t="shared" ca="1" si="24"/>
        <v>67.794190396369515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635947</v>
      </c>
      <c r="M32" s="38">
        <f t="shared" si="30"/>
        <v>0</v>
      </c>
      <c r="N32" s="38">
        <f t="shared" ca="1" si="30"/>
        <v>431135.12000000005</v>
      </c>
      <c r="O32" s="38">
        <f t="shared" ca="1" si="29"/>
        <v>67.794190396369515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635947</v>
      </c>
      <c r="M34" s="38">
        <f t="shared" si="32"/>
        <v>0</v>
      </c>
      <c r="N34" s="38">
        <f t="shared" ca="1" si="32"/>
        <v>431135.12000000005</v>
      </c>
      <c r="O34" s="38">
        <f t="shared" ca="1" si="29"/>
        <v>67.794190396369515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2647248</v>
      </c>
      <c r="M37" s="54">
        <f t="shared" ca="1" si="33"/>
        <v>2740946</v>
      </c>
      <c r="N37" s="54">
        <f t="shared" ca="1" si="33"/>
        <v>2255165.2199999997</v>
      </c>
      <c r="O37" s="55">
        <f t="shared" ca="1" si="29"/>
        <v>85.189042356439586</v>
      </c>
      <c r="P37" s="55">
        <f t="shared" ca="1" si="25"/>
        <v>82.276893452114692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353800</v>
      </c>
      <c r="N41" s="78">
        <f t="shared" ca="1" si="34"/>
        <v>298354.78999999998</v>
      </c>
      <c r="O41" s="77">
        <f t="shared" ref="O41:O43" ca="1" si="35">IF(L41&gt;0,N41*100/L41,0)</f>
        <v>84.328657433578286</v>
      </c>
      <c r="P41" s="77">
        <f t="shared" ref="P41:P43" ca="1" si="36">IF(M41&gt;0,N41*100/M41,0)</f>
        <v>84.328657433578286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353800</v>
      </c>
      <c r="N43" s="78">
        <f t="shared" ca="1" si="38"/>
        <v>298354.78999999998</v>
      </c>
      <c r="O43" s="77">
        <f t="shared" ca="1" si="35"/>
        <v>84.328657433578286</v>
      </c>
      <c r="P43" s="77">
        <f t="shared" ca="1" si="36"/>
        <v>84.328657433578286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353800</v>
      </c>
      <c r="M45" s="49">
        <f ca="1">IFERROR(__xludf.DUMMYFUNCTION("IMPORTRANGE(""https://docs.google.com/spreadsheets/d/1Yj_ptqi66GCucihVvJfMjLAmec39IyEx_6qawtMGysU/edit?usp=sharing"",""สบก!Q70"")"),353800)</f>
        <v>353800</v>
      </c>
      <c r="N45" s="49">
        <f ca="1">IFERROR(__xludf.DUMMYFUNCTION("IMPORTRANGE(""https://docs.google.com/spreadsheets/d/1Yj_ptqi66GCucihVvJfMjLAmec39IyEx_6qawtMGysU/edit?usp=sharing"",""สบก!R70"")"),298354.79)</f>
        <v>298354.78999999998</v>
      </c>
      <c r="O45" s="38">
        <f ca="1">IF(L45&gt;0,N45*100/L45,0)</f>
        <v>84.328657433578286</v>
      </c>
      <c r="P45" s="38">
        <f ca="1">IF(M45&gt;0,N45*100/M45,0)</f>
        <v>84.328657433578286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IFERROR(__xludf.DUMMYFUNCTION("IMPORTRANGE(""https://docs.google.com/spreadsheets/d/1Yj_ptqi66GCucihVvJfMjLAmec39IyEx_6qawtMGysU/edit?usp=sharing"",""สบก!M70"")"),353800)</f>
        <v>353800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IFERROR(__xludf.DUMMYFUNCTION("IMPORTRANGE(""https://docs.google.com/spreadsheets/d/1Yj_ptqi66GCucihVvJfMjLAmec39IyEx_6qawtMGysU/edit?usp=sharing"",""สบก!O70"")"),0)</f>
        <v>0</v>
      </c>
      <c r="M49" s="49"/>
      <c r="N49" s="49">
        <f ca="1">IFERROR(__xludf.DUMMYFUNCTION("IMPORTRANGE(""https://docs.google.com/spreadsheets/d/1Yj_ptqi66GCucihVvJfMjLAmec39IyEx_6qawtMGysU/edit?usp=sharing"",""สบก!S70"")"),0)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310000</v>
      </c>
      <c r="M53" s="121">
        <f t="shared" ca="1" si="39"/>
        <v>324078</v>
      </c>
      <c r="N53" s="121">
        <f t="shared" ca="1" si="39"/>
        <v>293509</v>
      </c>
      <c r="O53" s="120">
        <f t="shared" ref="O53:O55" ca="1" si="40">IF(L53&gt;0,N53*100/L53,0)</f>
        <v>94.680322580645168</v>
      </c>
      <c r="P53" s="120">
        <f t="shared" ref="P53:P55" ca="1" si="41">IF(M53&gt;0,N53*100/M53,0)</f>
        <v>90.567394269280854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310000</v>
      </c>
      <c r="M55" s="121">
        <f t="shared" ca="1" si="43"/>
        <v>324078</v>
      </c>
      <c r="N55" s="121">
        <f t="shared" ca="1" si="43"/>
        <v>293509</v>
      </c>
      <c r="O55" s="120">
        <f t="shared" ca="1" si="40"/>
        <v>94.680322580645168</v>
      </c>
      <c r="P55" s="120">
        <f t="shared" ca="1" si="41"/>
        <v>90.567394269280854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310000</v>
      </c>
      <c r="M57" s="49">
        <f ca="1">IFERROR(__xludf.DUMMYFUNCTION("IMPORTRANGE(""https://docs.google.com/spreadsheets/d/1Yj_ptqi66GCucihVvJfMjLAmec39IyEx_6qawtMGysU/edit?usp=sharing"",""สบก!Z70"")"),324078)</f>
        <v>324078</v>
      </c>
      <c r="N57" s="49">
        <f ca="1">IFERROR(__xludf.DUMMYFUNCTION("IMPORTRANGE(""https://docs.google.com/spreadsheets/d/1Yj_ptqi66GCucihVvJfMjLAmec39IyEx_6qawtMGysU/edit?usp=sharing"",""สบก!AA70"")"),293509)</f>
        <v>293509</v>
      </c>
      <c r="O57" s="38">
        <f ca="1">IF(L57&gt;0,N57*100/L57,0)</f>
        <v>94.680322580645168</v>
      </c>
      <c r="P57" s="38">
        <f ca="1">IF(M57&gt;0,N57*100/M57,0)</f>
        <v>90.567394269280854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IFERROR(__xludf.DUMMYFUNCTION("IMPORTRANGE(""https://docs.google.com/spreadsheets/d/1Yj_ptqi66GCucihVvJfMjLAmec39IyEx_6qawtMGysU/edit?usp=sharing"",""สบก!V70"")"),310000)</f>
        <v>310000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IFERROR(__xludf.DUMMYFUNCTION("IMPORTRANGE(""https://docs.google.com/spreadsheets/d/1Yj_ptqi66GCucihVvJfMjLAmec39IyEx_6qawtMGysU/edit?usp=sharing"",""สบก!X70"")"),0)</f>
        <v>0</v>
      </c>
      <c r="M61" s="49"/>
      <c r="N61" s="49">
        <f ca="1">IFERROR(__xludf.DUMMYFUNCTION("IMPORTRANGE(""https://docs.google.com/spreadsheets/d/1Yj_ptqi66GCucihVvJfMjLAmec39IyEx_6qawtMGysU/edit?usp=sharing"",""สบก!AB70"")"),0)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2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2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557200</v>
      </c>
      <c r="M66" s="152">
        <f t="shared" ca="1" si="45"/>
        <v>593820</v>
      </c>
      <c r="N66" s="152">
        <f t="shared" ca="1" si="45"/>
        <v>472612.66</v>
      </c>
      <c r="O66" s="151">
        <f t="shared" ref="O66:O68" ca="1" si="46">IF(L66&gt;0,N66*100/L66,0)</f>
        <v>84.81921392677674</v>
      </c>
      <c r="P66" s="151">
        <f t="shared" ref="P66:P68" ca="1" si="47">IF(M66&gt;0,N66*100/M66,0)</f>
        <v>79.588538614394935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557200</v>
      </c>
      <c r="M68" s="157">
        <f t="shared" ca="1" si="49"/>
        <v>593820</v>
      </c>
      <c r="N68" s="157">
        <f t="shared" ca="1" si="49"/>
        <v>472612.66</v>
      </c>
      <c r="O68" s="156">
        <f t="shared" ca="1" si="46"/>
        <v>84.81921392677674</v>
      </c>
      <c r="P68" s="156">
        <f t="shared" ca="1" si="47"/>
        <v>79.588538614394935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557200</v>
      </c>
      <c r="M70" s="168">
        <f ca="1">IFERROR(__xludf.DUMMYFUNCTION("IMPORTRANGE(""https://docs.google.com/spreadsheets/d/1Yj_ptqi66GCucihVvJfMjLAmec39IyEx_6qawtMGysU/edit?usp=sharing"",""สบก!AI70"")"),593820)</f>
        <v>593820</v>
      </c>
      <c r="N70" s="169">
        <f ca="1">IFERROR(__xludf.DUMMYFUNCTION("IMPORTRANGE(""https://docs.google.com/spreadsheets/d/1Yj_ptqi66GCucihVvJfMjLAmec39IyEx_6qawtMGysU/edit?usp=sharing"",""สบก!AJ70"")"),472612.66)</f>
        <v>472612.66</v>
      </c>
      <c r="O70" s="169">
        <f ca="1">IF(L70&gt;0,N70*100/L70,0)</f>
        <v>84.81921392677674</v>
      </c>
      <c r="P70" s="169">
        <f ca="1">IF(M70&gt;0,N70*100/M70,0)</f>
        <v>79.588538614394935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IFERROR(__xludf.DUMMYFUNCTION("IMPORTRANGE(""https://docs.google.com/spreadsheets/d/1Yj_ptqi66GCucihVvJfMjLAmec39IyEx_6qawtMGysU/edit?usp=sharing"",""สบก!AE70"")"),185200)</f>
        <v>185200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IFERROR(__xludf.DUMMYFUNCTION("IMPORTRANGE(""https://docs.google.com/spreadsheets/d/1Yj_ptqi66GCucihVvJfMjLAmec39IyEx_6qawtMGysU/edit?usp=sharing"",""สบก!AF70"")"),372000)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IFERROR(__xludf.DUMMYFUNCTION("IMPORTRANGE(""https://docs.google.com/spreadsheets/d/1Yj_ptqi66GCucihVvJfMjLAmec39IyEx_6qawtMGysU/edit?usp=sharing"",""สบก!AG70"")"),0)</f>
        <v>0</v>
      </c>
      <c r="M74" s="49"/>
      <c r="N74" s="49">
        <f ca="1">IFERROR(__xludf.DUMMYFUNCTION("IMPORTRANGE(""https://docs.google.com/spreadsheets/d/1Yj_ptqi66GCucihVvJfMjLAmec39IyEx_6qawtMGysU/edit?usp=sharing"",""สบก!AK70"")"),0)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1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1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4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4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89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89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4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4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IFERROR(__xludf.DUMMYFUNCTION("IMPORTRANGE(""https://docs.google.com/spreadsheets/d/1SX6NBoVAgQJ6U1MVXOaj8PK2l7WJ3RER9xtqwdhxkhw/edit?usp=sharing"",""พระนครศรีอยุธยา!I28"")"),1)</f>
        <v>1</v>
      </c>
      <c r="J88" s="204">
        <f ca="1">IFERROR(__xludf.DUMMYFUNCTION("IMPORTRANGE(""https://docs.google.com/spreadsheets/d/1SX6NBoVAgQJ6U1MVXOaj8PK2l7WJ3RER9xtqwdhxkhw/edit?usp=sharing"",""พระนครศรีอยุธยา!J28"")"),1)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2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2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IFERROR(__xludf.DUMMYFUNCTION("IMPORTRANGE(""https://docs.google.com/spreadsheets/d/1Yj_ptqi66GCucihVvJfMjLAmec39IyEx_6qawtMGysU/edit?usp=sharing"",""สบก!AR70"")"),0)</f>
        <v>0</v>
      </c>
      <c r="N98" s="169">
        <f ca="1">IFERROR(__xludf.DUMMYFUNCTION("IMPORTRANGE(""https://docs.google.com/spreadsheets/d/1Yj_ptqi66GCucihVvJfMjLAmec39IyEx_6qawtMGysU/edit?usp=sharing"",""สบก!AS70"")"),0)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IFERROR(__xludf.DUMMYFUNCTION("IMPORTRANGE(""https://docs.google.com/spreadsheets/d/1Yj_ptqi66GCucihVvJfMjLAmec39IyEx_6qawtMGysU/edit?usp=sharing"",""สบก!AP70"")"),0)</f>
        <v>0</v>
      </c>
      <c r="M102" s="49"/>
      <c r="N102" s="49">
        <f ca="1">IFERROR(__xludf.DUMMYFUNCTION("IMPORTRANGE(""https://docs.google.com/spreadsheets/d/1Yj_ptqi66GCucihVvJfMjLAmec39IyEx_6qawtMGysU/edit?usp=sharing"",""สบก!AT70"")"),0)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4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4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4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4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4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4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2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1488</v>
      </c>
      <c r="M118" s="152">
        <f t="shared" ca="1" si="58"/>
        <v>1488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1488</v>
      </c>
      <c r="M120" s="157">
        <f t="shared" ca="1" si="62"/>
        <v>1488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1488</v>
      </c>
      <c r="M122" s="168">
        <f ca="1">IFERROR(__xludf.DUMMYFUNCTION("IMPORTRANGE(""https://docs.google.com/spreadsheets/d/1Yj_ptqi66GCucihVvJfMjLAmec39IyEx_6qawtMGysU/edit?usp=sharing"",""สบก!BA70"")"),1488)</f>
        <v>1488</v>
      </c>
      <c r="N122" s="169">
        <f ca="1">IFERROR(__xludf.DUMMYFUNCTION("IMPORTRANGE(""https://docs.google.com/spreadsheets/d/1Yj_ptqi66GCucihVvJfMjLAmec39IyEx_6qawtMGysU/edit?usp=sharing"",""สบก!BB70"")"),0)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IFERROR(__xludf.DUMMYFUNCTION("IMPORTRANGE(""https://docs.google.com/spreadsheets/d/1Yj_ptqi66GCucihVvJfMjLAmec39IyEx_6qawtMGysU/edit?usp=sharing"",""สบก!AX70"")"),1488)</f>
        <v>1488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IFERROR(__xludf.DUMMYFUNCTION("IMPORTRANGE(""https://docs.google.com/spreadsheets/d/1Yj_ptqi66GCucihVvJfMjLAmec39IyEx_6qawtMGysU/edit?usp=sharing"",""สบก!AY70"")"),0)</f>
        <v>0</v>
      </c>
      <c r="M126" s="49"/>
      <c r="N126" s="49">
        <f ca="1">IFERROR(__xludf.DUMMYFUNCTION("IMPORTRANGE(""https://docs.google.com/spreadsheets/d/1Yj_ptqi66GCucihVvJfMjLAmec39IyEx_6qawtMGysU/edit?usp=sharing"",""สบก!BC70"")"),0)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4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4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8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864325</v>
      </c>
      <c r="M140" s="152">
        <f t="shared" ca="1" si="64"/>
        <v>872325</v>
      </c>
      <c r="N140" s="152">
        <f t="shared" ca="1" si="64"/>
        <v>705278.12</v>
      </c>
      <c r="O140" s="151">
        <f t="shared" ref="O140:O142" ca="1" si="65">IF(L140&gt;0,N140*100/L140,0)</f>
        <v>81.598718074798256</v>
      </c>
      <c r="P140" s="151">
        <f t="shared" ref="P140:P142" ca="1" si="66">IF(M140&gt;0,N140*100/M140,0)</f>
        <v>80.850384890952341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864325</v>
      </c>
      <c r="M142" s="157">
        <f t="shared" ca="1" si="68"/>
        <v>872325</v>
      </c>
      <c r="N142" s="157">
        <f t="shared" ca="1" si="68"/>
        <v>705278.12</v>
      </c>
      <c r="O142" s="156">
        <f t="shared" ca="1" si="65"/>
        <v>81.598718074798256</v>
      </c>
      <c r="P142" s="156">
        <f t="shared" ca="1" si="66"/>
        <v>80.850384890952341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864325</v>
      </c>
      <c r="M144" s="168">
        <f ca="1">IFERROR(__xludf.DUMMYFUNCTION("IMPORTRANGE(""https://docs.google.com/spreadsheets/d/1Yj_ptqi66GCucihVvJfMjLAmec39IyEx_6qawtMGysU/edit?usp=sharing"",""สบก!BJ70"")"),872325)</f>
        <v>872325</v>
      </c>
      <c r="N144" s="169">
        <f ca="1">IFERROR(__xludf.DUMMYFUNCTION("IMPORTRANGE(""https://docs.google.com/spreadsheets/d/1Yj_ptqi66GCucihVvJfMjLAmec39IyEx_6qawtMGysU/edit?usp=sharing"",""สบก!BK70"")"),705278.12)</f>
        <v>705278.12</v>
      </c>
      <c r="O144" s="169">
        <f ca="1">IF(L144&gt;0,N144*100/L144,0)</f>
        <v>81.598718074798256</v>
      </c>
      <c r="P144" s="169">
        <f ca="1">IF(M144&gt;0,N144*100/M144,0)</f>
        <v>80.850384890952341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IFERROR(__xludf.DUMMYFUNCTION("IMPORTRANGE(""https://docs.google.com/spreadsheets/d/1Yj_ptqi66GCucihVvJfMjLAmec39IyEx_6qawtMGysU/edit?usp=sharing"",""สบก!BF70"")"),396000)</f>
        <v>396000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IFERROR(__xludf.DUMMYFUNCTION("IMPORTRANGE(""https://docs.google.com/spreadsheets/d/1Yj_ptqi66GCucihVvJfMjLAmec39IyEx_6qawtMGysU/edit?usp=sharing"",""สบก!BG70"")"),468325)</f>
        <v>468325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IFERROR(__xludf.DUMMYFUNCTION("IMPORTRANGE(""https://docs.google.com/spreadsheets/d/1Yj_ptqi66GCucihVvJfMjLAmec39IyEx_6qawtMGysU/edit?usp=sharing"",""สบก!BH70"")"),0)</f>
        <v>0</v>
      </c>
      <c r="M148" s="49"/>
      <c r="N148" s="49">
        <f ca="1">IFERROR(__xludf.DUMMYFUNCTION("IMPORTRANGE(""https://docs.google.com/spreadsheets/d/1Yj_ptqi66GCucihVvJfMjLAmec39IyEx_6qawtMGysU/edit?usp=sharing"",""สบก!BL70"")"),0)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6">
        <f ca="1">IFERROR(__xludf.DUMMYFUNCTION("IMPORTRANGE(""https://docs.google.com/spreadsheets/d/1SX6NBoVAgQJ6U1MVXOaj8PK2l7WJ3RER9xtqwdhxkhw/edit?usp=sharing"",""พระนครศรีอยุธยา!J74"")"),4)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89">
        <f ca="1">IFERROR(__xludf.DUMMYFUNCTION("IMPORTRANGE(""https://docs.google.com/spreadsheets/d/1SX6NBoVAgQJ6U1MVXOaj8PK2l7WJ3RER9xtqwdhxkhw/edit?usp=sharing"",""พระนครศรีอยุธยา!J83"")"),4)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IFERROR(__xludf.DUMMYFUNCTION("IMPORTRANGE(""https://docs.google.com/spreadsheets/d/1SX6NBoVAgQJ6U1MVXOaj8PK2l7WJ3RER9xtqwdhxkhw/edit?usp=sharing"",""พระนครศรีอยุธยา!J84"")"),145)</f>
        <v>145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IFERROR(__xludf.DUMMYFUNCTION("IMPORTRANGE(""https://docs.google.com/spreadsheets/d/1SX6NBoVAgQJ6U1MVXOaj8PK2l7WJ3RER9xtqwdhxkhw/edit?usp=sharing"",""พระนครศรีอยุธยา!J85"")"),145)</f>
        <v>145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5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89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5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4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4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5">
        <f ca="1">IFERROR(__xludf.DUMMYFUNCTION("IMPORTRANGE(""https://docs.google.com/spreadsheets/d/1SX6NBoVAgQJ6U1MVXOaj8PK2l7WJ3RER9xtqwdhxkhw/edit?usp=sharing"",""พระนครศรีอยุธยา!J114"")"),20000)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IFERROR(__xludf.DUMMYFUNCTION("IMPORTRANGE(""https://docs.google.com/spreadsheets/d/1SX6NBoVAgQJ6U1MVXOaj8PK2l7WJ3RER9xtqwdhxkhw/edit?usp=sharing"",""พระนครศรีอยุธยา!J121"")"),1)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IFERROR(__xludf.DUMMYFUNCTION("IMPORTRANGE(""https://docs.google.com/spreadsheets/d/1SX6NBoVAgQJ6U1MVXOaj8PK2l7WJ3RER9xtqwdhxkhw/edit?usp=sharing"",""พระนครศรีอยุธยา!J122"")"),1)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89">
        <f ca="1">IFERROR(__xludf.DUMMYFUNCTION("IMPORTRANGE(""https://docs.google.com/spreadsheets/d/1SX6NBoVAgQJ6U1MVXOaj8PK2l7WJ3RER9xtqwdhxkhw/edit?usp=sharing"",""พระนครศรีอยุธยา!J124"")"),20000)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89">
        <f ca="1">IFERROR(__xludf.DUMMYFUNCTION("IMPORTRANGE(""https://docs.google.com/spreadsheets/d/1SX6NBoVAgQJ6U1MVXOaj8PK2l7WJ3RER9xtqwdhxkhw/edit?usp=sharing"",""พระนครศรีอยุธยา!J125"")"),20000)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89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IFERROR(__xludf.DUMMYFUNCTION("IMPORTRANGE(""https://docs.google.com/spreadsheets/d/1SX6NBoVAgQJ6U1MVXOaj8PK2l7WJ3RER9xtqwdhxkhw/edit?usp=sharing"",""พระนครศรีอยุธยา!J127"")"),1)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IFERROR(__xludf.DUMMYFUNCTION("IMPORTRANGE(""https://docs.google.com/spreadsheets/d/1SX6NBoVAgQJ6U1MVXOaj8PK2l7WJ3RER9xtqwdhxkhw/edit?usp=sharing"",""พระนครศรีอยุธยา!J128"")"),1)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5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4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4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4">
        <f ca="1">IFERROR(__xludf.DUMMYFUNCTION("IMPORTRANGE(""https://docs.google.com/spreadsheets/d/1SX6NBoVAgQJ6U1MVXOaj8PK2l7WJ3RER9xtqwdhxkhw/edit?usp=sharing"",""พระนครศรีอยุธยา!J141"")"),1)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8">
        <f ca="1">IFERROR(__xludf.DUMMYFUNCTION("IMPORTRANGE(""https://docs.google.com/spreadsheets/d/1SX6NBoVAgQJ6U1MVXOaj8PK2l7WJ3RER9xtqwdhxkhw/edit?usp=sharing"",""พระนครศรีอยุธยา!J144"")"),16)</f>
        <v>16</v>
      </c>
      <c r="K219" s="269">
        <f ca="1">IF(I219&gt;0,J219*100/I219,0)</f>
        <v>106.66666666666667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IFERROR(__xludf.DUMMYFUNCTION("IMPORTRANGE(""https://docs.google.com/spreadsheets/d/1Yj_ptqi66GCucihVvJfMjLAmec39IyEx_6qawtMGysU/edit?usp=sharing"",""สบก!BS70"")"),21125)</f>
        <v>21125</v>
      </c>
      <c r="N224" s="169">
        <f ca="1">IFERROR(__xludf.DUMMYFUNCTION("IMPORTRANGE(""https://docs.google.com/spreadsheets/d/1Yj_ptqi66GCucihVvJfMjLAmec39IyEx_6qawtMGysU/edit?usp=sharing"",""สบก!BT70"")"),21125)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IFERROR(__xludf.DUMMYFUNCTION("IMPORTRANGE(""https://docs.google.com/spreadsheets/d/1Yj_ptqi66GCucihVvJfMjLAmec39IyEx_6qawtMGysU/edit?usp=sharing"",""สบก!BQ70"")"),0)</f>
        <v>0</v>
      </c>
      <c r="M228" s="49"/>
      <c r="N228" s="49">
        <f ca="1">IFERROR(__xludf.DUMMYFUNCTION("IMPORTRANGE(""https://docs.google.com/spreadsheets/d/1Yj_ptqi66GCucihVvJfMjLAmec39IyEx_6qawtMGysU/edit?usp=sharing"",""สบก!BU70"")"),0)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8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89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IFERROR(__xludf.DUMMYFUNCTION("IMPORTRANGE(""https://docs.google.com/spreadsheets/d/1SX6NBoVAgQJ6U1MVXOaj8PK2l7WJ3RER9xtqwdhxkhw/edit?usp=sharing"",""พระนครศรีอยุธยา!J157"")"),1)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8">
        <f ca="1">IFERROR(__xludf.DUMMYFUNCTION("IMPORTRANGE(""https://docs.google.com/spreadsheets/d/1SX6NBoVAgQJ6U1MVXOaj8PK2l7WJ3RER9xtqwdhxkhw/edit?usp=sharing"",""พระนครศรีอยุธยา!J158"")"),1)</f>
        <v>1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IFERROR(__xludf.DUMMYFUNCTION("IMPORTRANGE(""https://docs.google.com/spreadsheets/d/1Yj_ptqi66GCucihVvJfMjLAmec39IyEx_6qawtMGysU/edit?usp=sharing"",""สบก!CB70"")"),0)</f>
        <v>0</v>
      </c>
      <c r="N254" s="169">
        <f ca="1">IFERROR(__xludf.DUMMYFUNCTION("IMPORTRANGE(""https://docs.google.com/spreadsheets/d/1Yj_ptqi66GCucihVvJfMjLAmec39IyEx_6qawtMGysU/edit?usp=sharing"",""สบก!CC70"")"),0)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IFERROR(__xludf.DUMMYFUNCTION("IMPORTRANGE(""https://docs.google.com/spreadsheets/d/1Yj_ptqi66GCucihVvJfMjLAmec39IyEx_6qawtMGysU/edit?usp=sharing"",""สบก!BZ70"")"),0)</f>
        <v>0</v>
      </c>
      <c r="M258" s="49"/>
      <c r="N258" s="49">
        <f ca="1">IFERROR(__xludf.DUMMYFUNCTION("IMPORTRANGE(""https://docs.google.com/spreadsheets/d/1Yj_ptqi66GCucihVvJfMjLAmec39IyEx_6qawtMGysU/edit?usp=sharing"",""สบก!CD70"")"),0)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89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89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89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89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IFERROR(__xludf.DUMMYFUNCTION("IMPORTRANGE(""https://docs.google.com/spreadsheets/d/1Yj_ptqi66GCucihVvJfMjLAmec39IyEx_6qawtMGysU/edit?usp=sharing"",""สบก!CK70"")"),0)</f>
        <v>0</v>
      </c>
      <c r="N275" s="169">
        <f ca="1">IFERROR(__xludf.DUMMYFUNCTION("IMPORTRANGE(""https://docs.google.com/spreadsheets/d/1Yj_ptqi66GCucihVvJfMjLAmec39IyEx_6qawtMGysU/edit?usp=sharing"",""สบก!CL70"")"),0)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IFERROR(__xludf.DUMMYFUNCTION("IMPORTRANGE(""https://docs.google.com/spreadsheets/d/1Yj_ptqi66GCucihVvJfMjLAmec39IyEx_6qawtMGysU/edit?usp=sharing"",""สบก!CH70"")"),0)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IFERROR(__xludf.DUMMYFUNCTION("IMPORTRANGE(""https://docs.google.com/spreadsheets/d/1Yj_ptqi66GCucihVvJfMjLAmec39IyEx_6qawtMGysU/edit?usp=sharing"",""สบก!CI70"")"),0)</f>
        <v>0</v>
      </c>
      <c r="M279" s="49"/>
      <c r="N279" s="49">
        <f ca="1">IFERROR(__xludf.DUMMYFUNCTION("IMPORTRANGE(""https://docs.google.com/spreadsheets/d/1Yj_ptqi66GCucihVvJfMjLAmec39IyEx_6qawtMGysU/edit?usp=sharing"",""สบก!CM70"")"),0)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89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IFERROR(__xludf.DUMMYFUNCTION("IMPORTRANGE(""https://docs.google.com/spreadsheets/d/1Yj_ptqi66GCucihVvJfMjLAmec39IyEx_6qawtMGysU/edit?usp=sharing"",""สบก!CT70"")"),0)</f>
        <v>0</v>
      </c>
      <c r="N294" s="169">
        <f ca="1">IFERROR(__xludf.DUMMYFUNCTION("IMPORTRANGE(""https://docs.google.com/spreadsheets/d/1Yj_ptqi66GCucihVvJfMjLAmec39IyEx_6qawtMGysU/edit?usp=sharing"",""สบก!CU70"")"),0)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IFERROR(__xludf.DUMMYFUNCTION("IMPORTRANGE(""https://docs.google.com/spreadsheets/d/1Yj_ptqi66GCucihVvJfMjLAmec39IyEx_6qawtMGysU/edit?usp=sharing"",""สบก!CR70"")"),0)</f>
        <v>0</v>
      </c>
      <c r="M298" s="49"/>
      <c r="N298" s="49">
        <f ca="1">IFERROR(__xludf.DUMMYFUNCTION("IMPORTRANGE(""https://docs.google.com/spreadsheets/d/1Yj_ptqi66GCucihVvJfMjLAmec39IyEx_6qawtMGysU/edit?usp=sharing"",""สบก!CV70"")"),0)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4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4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IFERROR(__xludf.DUMMYFUNCTION("IMPORTRANGE(""https://docs.google.com/spreadsheets/d/1Yj_ptqi66GCucihVvJfMjLAmec39IyEx_6qawtMGysU/edit?usp=sharing"",""สบก!DC70"")"),0)</f>
        <v>0</v>
      </c>
      <c r="N314" s="169">
        <f ca="1">IFERROR(__xludf.DUMMYFUNCTION("IMPORTRANGE(""https://docs.google.com/spreadsheets/d/1Yj_ptqi66GCucihVvJfMjLAmec39IyEx_6qawtMGysU/edit?usp=sharing"",""สบก!DD70"")"),0)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IFERROR(__xludf.DUMMYFUNCTION("IMPORTRANGE(""https://docs.google.com/spreadsheets/d/1Yj_ptqi66GCucihVvJfMjLAmec39IyEx_6qawtMGysU/edit?usp=sharing"",""สบก!DA70"")"),0)</f>
        <v>0</v>
      </c>
      <c r="M318" s="49"/>
      <c r="N318" s="49">
        <f ca="1">IFERROR(__xludf.DUMMYFUNCTION("IMPORTRANGE(""https://docs.google.com/spreadsheets/d/1Yj_ptqi66GCucihVvJfMjLAmec39IyEx_6qawtMGysU/edit?usp=sharing"",""สบก!DE70"")"),0)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4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0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539310</v>
      </c>
      <c r="M329" s="152">
        <f t="shared" ca="1" si="98"/>
        <v>574310</v>
      </c>
      <c r="N329" s="152">
        <f t="shared" ca="1" si="98"/>
        <v>464285.65</v>
      </c>
      <c r="O329" s="151">
        <f t="shared" ref="O329:O331" ca="1" si="99">IF(L329&gt;0,N329*100/L329,0)</f>
        <v>86.088826463444036</v>
      </c>
      <c r="P329" s="151">
        <f t="shared" ref="P329:P331" ca="1" si="100">IF(M329&gt;0,N329*100/M329,0)</f>
        <v>80.842341244275744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539310</v>
      </c>
      <c r="M331" s="157">
        <f t="shared" ca="1" si="102"/>
        <v>574310</v>
      </c>
      <c r="N331" s="157">
        <f t="shared" ca="1" si="102"/>
        <v>464285.65</v>
      </c>
      <c r="O331" s="156">
        <f t="shared" ca="1" si="99"/>
        <v>86.088826463444036</v>
      </c>
      <c r="P331" s="156">
        <f t="shared" ca="1" si="100"/>
        <v>80.842341244275744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IFERROR(__xludf.DUMMYFUNCTION("IMPORTRANGE(""https://docs.google.com/spreadsheets/d/1Yj_ptqi66GCucihVvJfMjLAmec39IyEx_6qawtMGysU/edit?usp=sharing"",""สบก!DL70"")"),521110)</f>
        <v>521110</v>
      </c>
      <c r="N333" s="169">
        <f ca="1">IFERROR(__xludf.DUMMYFUNCTION("IMPORTRANGE(""https://docs.google.com/spreadsheets/d/1Yj_ptqi66GCucihVvJfMjLAmec39IyEx_6qawtMGysU/edit?usp=sharing"",""สบก!DM70"")"),411085.65)</f>
        <v>411085.65</v>
      </c>
      <c r="O333" s="169">
        <f ca="1">IF(L333&gt;0,N333*100/L333,0)</f>
        <v>84.566384151735207</v>
      </c>
      <c r="P333" s="169">
        <f ca="1">IF(M333&gt;0,N333*100/M333,0)</f>
        <v>78.886540269808677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IFERROR(__xludf.DUMMYFUNCTION("IMPORTRANGE(""https://docs.google.com/spreadsheets/d/1Yj_ptqi66GCucihVvJfMjLAmec39IyEx_6qawtMGysU/edit?usp=sharing"",""สบก!DI70"")"),180110)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IFERROR(__xludf.DUMMYFUNCTION("IMPORTRANGE(""https://docs.google.com/spreadsheets/d/1Yj_ptqi66GCucihVvJfMjLAmec39IyEx_6qawtMGysU/edit?usp=sharing"",""สบก!DJ70"")"),53200)</f>
        <v>53200</v>
      </c>
      <c r="M337" s="49">
        <f ca="1">L337</f>
        <v>53200</v>
      </c>
      <c r="N337" s="49">
        <f ca="1">IFERROR(__xludf.DUMMYFUNCTION("IMPORTRANGE(""https://docs.google.com/spreadsheets/d/1Yj_ptqi66GCucihVvJfMjLAmec39IyEx_6qawtMGysU/edit?usp=sharing"",""สบก!DN70"")"),53200)</f>
        <v>53200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88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88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88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88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88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88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88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88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IFERROR(__xludf.DUMMYFUNCTION("IMPORTRANGE(""https://docs.google.com/spreadsheets/d/1SX6NBoVAgQJ6U1MVXOaj8PK2l7WJ3RER9xtqwdhxkhw/edit?usp=sharing"",""พระนครศรีอยุธยา!L242"")"),635947)</f>
        <v>635947</v>
      </c>
      <c r="M347" s="358"/>
      <c r="N347" s="358">
        <f ca="1">IFERROR(__xludf.DUMMYFUNCTION("IMPORTRANGE(""https://docs.google.com/spreadsheets/d/1SX6NBoVAgQJ6U1MVXOaj8PK2l7WJ3RER9xtqwdhxkhw/edit?usp=sharing"",""พระนครศรีอยุธยา!M242"")"),431135.12)</f>
        <v>431135.12</v>
      </c>
      <c r="O347" s="358">
        <f ca="1">+IF(L347&gt;0,N347*100/L347,0)</f>
        <v>67.794190396369515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1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3"/>
      <c r="N349" s="373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1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4"/>
      <c r="N351" s="164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5"/>
      <c r="N352" s="164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69"/>
      <c r="N353" s="169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69"/>
      <c r="N354" s="168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88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4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89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89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4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88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88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89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4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1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3"/>
      <c r="N380" s="373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1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4"/>
      <c r="N382" s="164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5"/>
      <c r="N383" s="165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69"/>
      <c r="N384" s="169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69"/>
      <c r="N385" s="168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8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8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8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1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3"/>
      <c r="N401" s="373">
        <f ca="1">IFERROR(__xludf.DUMMYFUNCTION("IMPORTRANGE(""https://docs.google.com/spreadsheets/d/1SX6NBoVAgQJ6U1MVXOaj8PK2l7WJ3RER9xtqwdhxkhw/edit?usp=sharing"",""พระนครศรีอยุธยา!M296"")"),150167.6)</f>
        <v>150167.6</v>
      </c>
      <c r="O401" s="373">
        <f ca="1">+IF(L401&gt;0,N401*100/L401,0)</f>
        <v>65.270395966444994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1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4"/>
      <c r="N403" s="169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5"/>
      <c r="N404" s="169">
        <f ca="1">IFERROR(__xludf.DUMMYFUNCTION("IMPORTRANGE(""https://docs.google.com/spreadsheets/d/1SX6NBoVAgQJ6U1MVXOaj8PK2l7WJ3RER9xtqwdhxkhw/edit?usp=sharing"",""พระนครศรีอยุธยา!M299"")"),150167.6)</f>
        <v>150167.6</v>
      </c>
      <c r="O404" s="169">
        <f t="shared" ca="1" si="112"/>
        <v>65.270395966444994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69"/>
      <c r="N405" s="169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69"/>
      <c r="N406" s="169">
        <f ca="1">IFERROR(__xludf.DUMMYFUNCTION("IMPORTRANGE(""https://docs.google.com/spreadsheets/d/1SX6NBoVAgQJ6U1MVXOaj8PK2l7WJ3RER9xtqwdhxkhw/edit?usp=sharing"",""พระนครศรีอยุธยา!M301"")"),150167.6)</f>
        <v>150167.6</v>
      </c>
      <c r="O406" s="169">
        <f t="shared" ca="1" si="112"/>
        <v>65.270395966444994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IFERROR(__xludf.DUMMYFUNCTION("IMPORTRANGE(""https://docs.google.com/spreadsheets/d/1SX6NBoVAgQJ6U1MVXOaj8PK2l7WJ3RER9xtqwdhxkhw/edit?usp=sharing"",""พระนครศรีอยุธยา!M302"")"),122057.6)</f>
        <v>122057.60000000001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IFERROR(__xludf.DUMMYFUNCTION("IMPORTRANGE(""https://docs.google.com/spreadsheets/d/1SX6NBoVAgQJ6U1MVXOaj8PK2l7WJ3RER9xtqwdhxkhw/edit?usp=sharing"",""พระนครศรีอยุธยา!M305"")"),28110)</f>
        <v>28110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1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2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3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2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3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4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4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4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2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3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4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4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2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0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2"/>
      <c r="N435" s="412">
        <f ca="1">IFERROR(__xludf.DUMMYFUNCTION("IMPORTRANGE(""https://docs.google.com/spreadsheets/d/1SX6NBoVAgQJ6U1MVXOaj8PK2l7WJ3RER9xtqwdhxkhw/edit?usp=sharing"",""พระนครศรีอยุธยา!M330"")"),102354.22)</f>
        <v>102354.22</v>
      </c>
      <c r="O435" s="412">
        <f t="shared" ref="O435:O439" ca="1" si="114">+IF(L435&gt;0,N435*100/L435,0)</f>
        <v>86.740864406779664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4"/>
      <c r="N436" s="169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5"/>
      <c r="N437" s="169">
        <f ca="1">IFERROR(__xludf.DUMMYFUNCTION("IMPORTRANGE(""https://docs.google.com/spreadsheets/d/1SX6NBoVAgQJ6U1MVXOaj8PK2l7WJ3RER9xtqwdhxkhw/edit?usp=sharing"",""พระนครศรีอยุธยา!M332"")"),102354.22)</f>
        <v>102354.22</v>
      </c>
      <c r="O437" s="169">
        <f t="shared" ca="1" si="114"/>
        <v>86.740864406779664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69"/>
      <c r="N438" s="169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69"/>
      <c r="N439" s="169">
        <f ca="1">IFERROR(__xludf.DUMMYFUNCTION("IMPORTRANGE(""https://docs.google.com/spreadsheets/d/1SX6NBoVAgQJ6U1MVXOaj8PK2l7WJ3RER9xtqwdhxkhw/edit?usp=sharing"",""พระนครศรีอยุธยา!M334"")"),102354.22)</f>
        <v>102354.22</v>
      </c>
      <c r="O439" s="169">
        <f t="shared" ca="1" si="114"/>
        <v>86.740864406779664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IFERROR(__xludf.DUMMYFUNCTION("IMPORTRANGE(""https://docs.google.com/spreadsheets/d/1SX6NBoVAgQJ6U1MVXOaj8PK2l7WJ3RER9xtqwdhxkhw/edit?usp=sharing"",""พระนครศรีอยุธยา!M335"")"),44200)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IFERROR(__xludf.DUMMYFUNCTION("IMPORTRANGE(""https://docs.google.com/spreadsheets/d/1SX6NBoVAgQJ6U1MVXOaj8PK2l7WJ3RER9xtqwdhxkhw/edit?usp=sharing"",""พระนครศรีอยุธยา!M338"")"),58154.22)</f>
        <v>58154.22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1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89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88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88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1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3"/>
      <c r="N455" s="373">
        <f ca="1">IFERROR(__xludf.DUMMYFUNCTION("IMPORTRANGE(""https://docs.google.com/spreadsheets/d/1SX6NBoVAgQJ6U1MVXOaj8PK2l7WJ3RER9xtqwdhxkhw/edit?usp=sharing"",""พระนครศรีอยุธยา!M350"")"),48326)</f>
        <v>48326</v>
      </c>
      <c r="O455" s="373">
        <f t="shared" ref="O455:O459" ca="1" si="116">+IF(L455&gt;0,N455*100/L455,0)</f>
        <v>40.085602660981941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4"/>
      <c r="N456" s="169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5"/>
      <c r="N457" s="169">
        <f ca="1">IFERROR(__xludf.DUMMYFUNCTION("IMPORTRANGE(""https://docs.google.com/spreadsheets/d/1SX6NBoVAgQJ6U1MVXOaj8PK2l7WJ3RER9xtqwdhxkhw/edit?usp=sharing"",""พระนครศรีอยุธยา!M352"")"),48326)</f>
        <v>48326</v>
      </c>
      <c r="O457" s="169">
        <f t="shared" ca="1" si="116"/>
        <v>40.085602660981941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69"/>
      <c r="N458" s="169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69"/>
      <c r="N459" s="169">
        <f ca="1">IFERROR(__xludf.DUMMYFUNCTION("IMPORTRANGE(""https://docs.google.com/spreadsheets/d/1SX6NBoVAgQJ6U1MVXOaj8PK2l7WJ3RER9xtqwdhxkhw/edit?usp=sharing"",""พระนครศรีอยุธยา!M354"")"),48326)</f>
        <v>48326</v>
      </c>
      <c r="O459" s="169">
        <f t="shared" ca="1" si="116"/>
        <v>40.085602660981941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IFERROR(__xludf.DUMMYFUNCTION("IMPORTRANGE(""https://docs.google.com/spreadsheets/d/1SX6NBoVAgQJ6U1MVXOaj8PK2l7WJ3RER9xtqwdhxkhw/edit?usp=sharing"",""พระนครศรีอยุธยา!M358"")"),48326)</f>
        <v>48326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8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0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2">
        <f t="shared" ca="1" si="117"/>
        <v>109.4551195308976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0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2">
        <f t="shared" ca="1" si="117"/>
        <v>113.65638766519824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89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89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89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89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89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89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0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2">
        <f t="shared" ca="1" si="117"/>
        <v>109.45557059088814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0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3">
        <f t="shared" ca="1" si="117"/>
        <v>113.65638766519824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89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89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89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89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89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89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89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89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89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89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89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89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89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89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89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2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2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89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8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89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8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89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8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2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2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8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8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8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8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8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8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8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5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5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88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88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88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88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88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88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5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5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8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8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8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8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8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6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0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IFERROR(__xludf.DUMMYFUNCTION("IMPORTRANGE(""https://docs.google.com/spreadsheets/d/1SX6NBoVAgQJ6U1MVXOaj8PK2l7WJ3RER9xtqwdhxkhw/edit?usp=sharing"",""พระนครศรีอยุธยา!M428"")"),34340)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4"/>
      <c r="N534" s="169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IFERROR(__xludf.DUMMYFUNCTION("IMPORTRANGE(""https://docs.google.com/spreadsheets/d/1SX6NBoVAgQJ6U1MVXOaj8PK2l7WJ3RER9xtqwdhxkhw/edit?usp=sharing"",""พระนครศรีอยุธยา!M430"")"),34340)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69"/>
      <c r="N536" s="169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IFERROR(__xludf.DUMMYFUNCTION("IMPORTRANGE(""https://docs.google.com/spreadsheets/d/1SX6NBoVAgQJ6U1MVXOaj8PK2l7WJ3RER9xtqwdhxkhw/edit?usp=sharing"",""พระนครศรีอยุธยา!M432"")"),34340)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IFERROR(__xludf.DUMMYFUNCTION("IMPORTRANGE(""https://docs.google.com/spreadsheets/d/1SX6NBoVAgQJ6U1MVXOaj8PK2l7WJ3RER9xtqwdhxkhw/edit?usp=sharing"",""พระนครศรีอยุธยา!M436"")"),17228)</f>
        <v>17228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89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0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2"/>
      <c r="N551" s="412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4"/>
      <c r="N552" s="169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5"/>
      <c r="N553" s="169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69"/>
      <c r="N554" s="169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69"/>
      <c r="N555" s="169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2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4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1">
        <f ca="1">IFERROR(__xludf.DUMMYFUNCTION("IMPORTRANGE(""https://docs.google.com/spreadsheets/d/1SX6NBoVAgQJ6U1MVXOaj8PK2l7WJ3RER9xtqwdhxkhw/edit?usp=sharing"",""พระนครศรีอยุธยา!J459"")"),981)</f>
        <v>981</v>
      </c>
      <c r="K564" s="372">
        <f ca="1">IF(I564&gt;0,J564*100/I564,0)</f>
        <v>654</v>
      </c>
      <c r="L564" s="373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IFERROR(__xludf.DUMMYFUNCTION("IMPORTRANGE(""https://docs.google.com/spreadsheets/d/1SX6NBoVAgQJ6U1MVXOaj8PK2l7WJ3RER9xtqwdhxkhw/edit?usp=sharing"",""พระนครศรีอยุธยา!M459"")"),94562.1)</f>
        <v>94562.1</v>
      </c>
      <c r="O564" s="373">
        <f t="shared" ref="O564:O568" ca="1" si="122">+IF(L564&gt;0,N564*100/L564,0)</f>
        <v>75.240372374283893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4"/>
      <c r="N565" s="169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IFERROR(__xludf.DUMMYFUNCTION("IMPORTRANGE(""https://docs.google.com/spreadsheets/d/1SX6NBoVAgQJ6U1MVXOaj8PK2l7WJ3RER9xtqwdhxkhw/edit?usp=sharing"",""พระนครศรีอยุธยา!M461"")"),94562.1)</f>
        <v>94562.1</v>
      </c>
      <c r="O566" s="169">
        <f t="shared" ca="1" si="122"/>
        <v>75.240372374283893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69"/>
      <c r="N567" s="169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IFERROR(__xludf.DUMMYFUNCTION("IMPORTRANGE(""https://docs.google.com/spreadsheets/d/1SX6NBoVAgQJ6U1MVXOaj8PK2l7WJ3RER9xtqwdhxkhw/edit?usp=sharing"",""พระนครศรีอยุธยา!M463"")"),94562.1)</f>
        <v>94562.1</v>
      </c>
      <c r="O568" s="169">
        <f t="shared" ca="1" si="122"/>
        <v>75.240372374283893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IFERROR(__xludf.DUMMYFUNCTION("IMPORTRANGE(""https://docs.google.com/spreadsheets/d/1SX6NBoVAgQJ6U1MVXOaj8PK2l7WJ3RER9xtqwdhxkhw/edit?usp=sharing"",""พระนครศรีอยุธยา!M466"")"),74478.1)</f>
        <v>74478.100000000006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IFERROR(__xludf.DUMMYFUNCTION("IMPORTRANGE(""https://docs.google.com/spreadsheets/d/1SX6NBoVAgQJ6U1MVXOaj8PK2l7WJ3RER9xtqwdhxkhw/edit?usp=sharing"",""พระนครศรีอยุธยา!M467"")"),20084)</f>
        <v>20084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0">
        <f ca="1">IFERROR(__xludf.DUMMYFUNCTION("IMPORTRANGE(""https://docs.google.com/spreadsheets/d/1SX6NBoVAgQJ6U1MVXOaj8PK2l7WJ3RER9xtqwdhxkhw/edit?usp=sharing"",""พระนครศรีอยุธยา!J468"")"),981)</f>
        <v>981</v>
      </c>
      <c r="K573" s="202">
        <f ca="1">IF(I573&gt;0,J573*100/I573,0)</f>
        <v>654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8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8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89">
        <f ca="1">IFERROR(__xludf.DUMMYFUNCTION("IMPORTRANGE(""https://docs.google.com/spreadsheets/d/1SX6NBoVAgQJ6U1MVXOaj8PK2l7WJ3RER9xtqwdhxkhw/edit?usp=sharing"",""พระนครศรีอยุธยา!J472"")"),632)</f>
        <v>632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8">
        <f ca="1">IFERROR(__xludf.DUMMYFUNCTION("IMPORTRANGE(""https://docs.google.com/spreadsheets/d/1SX6NBoVAgQJ6U1MVXOaj8PK2l7WJ3RER9xtqwdhxkhw/edit?usp=sharing"",""พระนครศรีอยุธยา!J473"")"),1)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8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1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3"/>
      <c r="N580" s="373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4"/>
      <c r="N581" s="169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5"/>
      <c r="N582" s="169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69"/>
      <c r="N583" s="169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69"/>
      <c r="N584" s="169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88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88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88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88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88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88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88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2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8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2"/>
      <c r="N597" s="412">
        <f ca="1">IFERROR(__xludf.DUMMYFUNCTION("IMPORTRANGE(""https://docs.google.com/spreadsheets/d/1SX6NBoVAgQJ6U1MVXOaj8PK2l7WJ3RER9xtqwdhxkhw/edit?usp=sharing"",""พระนครศรีอยุธยา!M492"")"),1385.2)</f>
        <v>1385.2</v>
      </c>
      <c r="O597" s="412">
        <f t="shared" ref="O597:O601" ca="1" si="126">+IF(L597&gt;0,N597*100/L597,0)</f>
        <v>18.975342465753425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4"/>
      <c r="N598" s="169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5"/>
      <c r="N599" s="169">
        <f ca="1">IFERROR(__xludf.DUMMYFUNCTION("IMPORTRANGE(""https://docs.google.com/spreadsheets/d/1SX6NBoVAgQJ6U1MVXOaj8PK2l7WJ3RER9xtqwdhxkhw/edit?usp=sharing"",""พระนครศรีอยุธยา!M494"")"),1385.2)</f>
        <v>1385.2</v>
      </c>
      <c r="O599" s="169">
        <f t="shared" ca="1" si="126"/>
        <v>18.975342465753425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69"/>
      <c r="N600" s="169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69"/>
      <c r="N601" s="169">
        <f ca="1">IFERROR(__xludf.DUMMYFUNCTION("IMPORTRANGE(""https://docs.google.com/spreadsheets/d/1SX6NBoVAgQJ6U1MVXOaj8PK2l7WJ3RER9xtqwdhxkhw/edit?usp=sharing"",""พระนครศรีอยุธยา!M496"")"),1385.2)</f>
        <v>1385.2</v>
      </c>
      <c r="O601" s="169">
        <f t="shared" ca="1" si="126"/>
        <v>18.975342465753425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IFERROR(__xludf.DUMMYFUNCTION("IMPORTRANGE(""https://docs.google.com/spreadsheets/d/1SX6NBoVAgQJ6U1MVXOaj8PK2l7WJ3RER9xtqwdhxkhw/edit?usp=sharing"",""พระนครศรีอยุธยา!M500"")"),1385.2)</f>
        <v>1385.2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2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8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3">
        <f t="shared" ca="1" si="127"/>
        <v>280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8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3">
        <f t="shared" ca="1" si="127"/>
        <v>280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8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3">
        <f t="shared" ca="1" si="127"/>
        <v>280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8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3">
        <f t="shared" ca="1" si="127"/>
        <v>280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8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88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89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89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3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3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89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89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88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89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89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2">
        <f ca="1">IFERROR(__xludf.DUMMYFUNCTION("IMPORTRANGE(""https://docs.google.com/spreadsheets/d/1SX6NBoVAgQJ6U1MVXOaj8PK2l7WJ3RER9xtqwdhxkhw/edit?usp=sharing"",""พระนครศรีอยุธยา!J523"")"),27020.59)</f>
        <v>27020.59</v>
      </c>
      <c r="K628" s="343">
        <f t="shared" ref="K628:K635" ca="1" si="129">IF(I628&gt;0,J628*100/I628,0)</f>
        <v>8.6177008877919796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2">
        <f ca="1">IFERROR(__xludf.DUMMYFUNCTION("IMPORTRANGE(""https://docs.google.com/spreadsheets/d/1SX6NBoVAgQJ6U1MVXOaj8PK2l7WJ3RER9xtqwdhxkhw/edit?usp=sharing"",""พระนครศรีอยุธยา!J524"")"),3)</f>
        <v>3</v>
      </c>
      <c r="K629" s="343">
        <f t="shared" ca="1" si="129"/>
        <v>6.8181818181818183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2">
        <f ca="1">IFERROR(__xludf.DUMMYFUNCTION("IMPORTRANGE(""https://docs.google.com/spreadsheets/d/1SX6NBoVAgQJ6U1MVXOaj8PK2l7WJ3RER9xtqwdhxkhw/edit?usp=sharing"",""พระนครศรีอยุธยา!J525"")"),2605960.22)</f>
        <v>2605960.2200000002</v>
      </c>
      <c r="K630" s="343">
        <f t="shared" ca="1" si="129"/>
        <v>29.41799823992794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2">
        <f ca="1">IFERROR(__xludf.DUMMYFUNCTION("IMPORTRANGE(""https://docs.google.com/spreadsheets/d/1SX6NBoVAgQJ6U1MVXOaj8PK2l7WJ3RER9xtqwdhxkhw/edit?usp=sharing"",""พระนครศรีอยุธยา!J526"")"),208)</f>
        <v>208</v>
      </c>
      <c r="K631" s="343">
        <f t="shared" ca="1" si="129"/>
        <v>78.195488721804509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2">
        <f ca="1">IFERROR(__xludf.DUMMYFUNCTION("IMPORTRANGE(""https://docs.google.com/spreadsheets/d/1SX6NBoVAgQJ6U1MVXOaj8PK2l7WJ3RER9xtqwdhxkhw/edit?usp=sharing"",""พระนครศรีอยุธยา!J527"")"),623552.96)</f>
        <v>623552.96</v>
      </c>
      <c r="K632" s="343">
        <f t="shared" ca="1" si="129"/>
        <v>41.022758197169026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2">
        <f ca="1">IFERROR(__xludf.DUMMYFUNCTION("IMPORTRANGE(""https://docs.google.com/spreadsheets/d/1SX6NBoVAgQJ6U1MVXOaj8PK2l7WJ3RER9xtqwdhxkhw/edit?usp=sharing"",""พระนครศรีอยุธยา!J528"")"),1243)</f>
        <v>1243</v>
      </c>
      <c r="K633" s="343">
        <f t="shared" ca="1" si="129"/>
        <v>83.760107816711596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IFERROR(__xludf.DUMMYFUNCTION("IMPORTRANGE(""https://docs.google.com/spreadsheets/d/1SX6NBoVAgQJ6U1MVXOaj8PK2l7WJ3RER9xtqwdhxkhw/edit?usp=sharing"",""พระนครศรีอยุธยา!I529"")"),2500000)</f>
        <v>2500000</v>
      </c>
      <c r="J634" s="342">
        <f ca="1">IFERROR(__xludf.DUMMYFUNCTION("IMPORTRANGE(""https://docs.google.com/spreadsheets/d/1SX6NBoVAgQJ6U1MVXOaj8PK2l7WJ3RER9xtqwdhxkhw/edit?usp=sharing"",""พระนครศรีอยุธยา!J529"")"),1500000)</f>
        <v>1500000</v>
      </c>
      <c r="K634" s="343">
        <f t="shared" ca="1" si="129"/>
        <v>60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IFERROR(__xludf.DUMMYFUNCTION("IMPORTRANGE(""https://docs.google.com/spreadsheets/d/1SX6NBoVAgQJ6U1MVXOaj8PK2l7WJ3RER9xtqwdhxkhw/edit?usp=sharing"",""พระนครศรีอยุธยา!I530"")"),71)</f>
        <v>71</v>
      </c>
      <c r="J635" s="505">
        <f ca="1">IFERROR(__xludf.DUMMYFUNCTION("IMPORTRANGE(""https://docs.google.com/spreadsheets/d/1SX6NBoVAgQJ6U1MVXOaj8PK2l7WJ3RER9xtqwdhxkhw/edit?usp=sharing"",""พระนครศรีอยุธยา!J530"")"),31)</f>
        <v>31</v>
      </c>
      <c r="K635" s="487">
        <f t="shared" ca="1" si="129"/>
        <v>43.661971830985912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59320</v>
      </c>
      <c r="M636" s="512"/>
      <c r="N636" s="511">
        <f ca="1">SUM(N637:N638)</f>
        <v>14935</v>
      </c>
      <c r="O636" s="511">
        <f t="shared" ref="O636:O640" ca="1" si="130">+IF(L636&gt;0,N636*100/L636,0)</f>
        <v>25.177006068779502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59320</v>
      </c>
      <c r="M638" s="522"/>
      <c r="N638" s="523">
        <f ca="1">SUM(N639:N640)</f>
        <v>14935</v>
      </c>
      <c r="O638" s="523">
        <f t="shared" ca="1" si="130"/>
        <v>25.177006068779502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59320</v>
      </c>
      <c r="M640" s="522"/>
      <c r="N640" s="523">
        <f ca="1">SUM(N641:N644)</f>
        <v>14935</v>
      </c>
      <c r="O640" s="523">
        <f t="shared" ca="1" si="130"/>
        <v>25.177006068779502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14935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IFERROR(__xludf.DUMMYFUNCTION("IMPORTRANGE(""https://docs.google.com/spreadsheets/d/1SX6NBoVAgQJ6U1MVXOaj8PK2l7WJ3RER9xtqwdhxkhw/edit#gid=346597447"",""พระนครศรีอยุธยา!J542"")"),1)</f>
        <v>1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7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2"/>
      <c r="N648" s="539">
        <f ca="1">IFERROR(__xludf.DUMMYFUNCTION("IMPORTRANGE(""https://docs.google.com/spreadsheets/d/1SX6NBoVAgQJ6U1MVXOaj8PK2l7WJ3RER9xtqwdhxkhw/edit#gid=346597447"",""พระนครศรีอยุธยา!M543"")"),1480)</f>
        <v>1480</v>
      </c>
      <c r="O648" s="538">
        <f t="shared" ref="O648:O651" ca="1" si="132">IF(L648&gt;0,N648*100/L648,0)</f>
        <v>9.8404255319148941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7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2"/>
      <c r="N649" s="539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7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2"/>
      <c r="N650" s="539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2"/>
      <c r="N651" s="539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8"/>
      <c r="L661" s="523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2"/>
      <c r="N661" s="539">
        <f ca="1">IFERROR(__xludf.DUMMYFUNCTION("IMPORTRANGE(""https://docs.google.com/spreadsheets/d/1SX6NBoVAgQJ6U1MVXOaj8PK2l7WJ3RER9xtqwdhxkhw/edit#gid=346597447"",""พระนครศรีอยุธยา!M556"")"),0)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7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7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2"/>
      <c r="N665" s="539">
        <f ca="1">IFERROR(__xludf.DUMMYFUNCTION("IMPORTRANGE(""https://docs.google.com/spreadsheets/d/1SX6NBoVAgQJ6U1MVXOaj8PK2l7WJ3RER9xtqwdhxkhw/edit#gid=346597447"",""พระนครศรีอยุธยา!M560"")"),735)</f>
        <v>735</v>
      </c>
      <c r="O665" s="538">
        <f ca="1">IF(L665&gt;0,N665*100/L665,0)</f>
        <v>30.625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7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2"/>
      <c r="N668" s="539">
        <f ca="1">IFERROR(__xludf.DUMMYFUNCTION("IMPORTRANGE(""https://docs.google.com/spreadsheets/d/1SX6NBoVAgQJ6U1MVXOaj8PK2l7WJ3RER9xtqwdhxkhw/edit#gid=346597447"",""พระนครศรีอยุธยา!M563"")"),2080)</f>
        <v>2080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2"/>
      <c r="N671" s="539">
        <f ca="1">IFERROR(__xludf.DUMMYFUNCTION("IMPORTRANGE(""https://docs.google.com/spreadsheets/d/1SX6NBoVAgQJ6U1MVXOaj8PK2l7WJ3RER9xtqwdhxkhw/edit#gid=346597447"",""พระนครศรีอยุธยา!M566"")"),10640)</f>
        <v>10640</v>
      </c>
      <c r="O671" s="538">
        <f ca="1">IF(L671&gt;0,N671*100/L671,0)</f>
        <v>40.303030303030305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4.8554687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2903602</v>
      </c>
      <c r="M8" s="23">
        <f t="shared" ca="1" si="0"/>
        <v>2129649</v>
      </c>
      <c r="N8" s="23">
        <f t="shared" ca="1" si="0"/>
        <v>2417952.84</v>
      </c>
      <c r="O8" s="22">
        <f t="shared" ref="O8:O16" ca="1" si="1">IF(L8&gt;0,N8*100/L8,0)</f>
        <v>83.274251774175667</v>
      </c>
      <c r="P8" s="22">
        <f t="shared" ref="P8:P16" ca="1" si="2">IF(M8&gt;0,N8*100/M8,0)</f>
        <v>113.5376223969302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2903602</v>
      </c>
      <c r="M10" s="30">
        <f t="shared" ca="1" si="4"/>
        <v>2129649</v>
      </c>
      <c r="N10" s="30">
        <f t="shared" ca="1" si="4"/>
        <v>2417952.84</v>
      </c>
      <c r="O10" s="29">
        <f t="shared" ca="1" si="1"/>
        <v>83.274251774175667</v>
      </c>
      <c r="P10" s="29">
        <f t="shared" ca="1" si="2"/>
        <v>113.5376223969302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2677602</v>
      </c>
      <c r="M12" s="38">
        <f t="shared" ca="1" si="6"/>
        <v>1903649</v>
      </c>
      <c r="N12" s="38">
        <f t="shared" ca="1" si="6"/>
        <v>2239952.84</v>
      </c>
      <c r="O12" s="38">
        <f t="shared" ca="1" si="1"/>
        <v>83.655182510320799</v>
      </c>
      <c r="P12" s="38">
        <f t="shared" ca="1" si="2"/>
        <v>117.66627356198543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1547900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1129702</v>
      </c>
      <c r="M14" s="38">
        <f t="shared" si="8"/>
        <v>0</v>
      </c>
      <c r="N14" s="38">
        <f t="shared" ca="1" si="8"/>
        <v>640854</v>
      </c>
      <c r="O14" s="38">
        <f t="shared" ca="1" si="1"/>
        <v>56.727703412050261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226000</v>
      </c>
      <c r="M16" s="38">
        <f t="shared" ca="1" si="10"/>
        <v>226000</v>
      </c>
      <c r="N16" s="38">
        <f t="shared" ca="1" si="10"/>
        <v>178000</v>
      </c>
      <c r="O16" s="49">
        <f t="shared" ca="1" si="1"/>
        <v>78.761061946902657</v>
      </c>
      <c r="P16" s="49">
        <f t="shared" ca="1" si="2"/>
        <v>78.761061946902657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2053105</v>
      </c>
      <c r="M18" s="23">
        <f t="shared" ca="1" si="11"/>
        <v>2129649</v>
      </c>
      <c r="N18" s="23">
        <f t="shared" ca="1" si="11"/>
        <v>1777098.84</v>
      </c>
      <c r="O18" s="22">
        <f t="shared" ref="O18:O20" ca="1" si="12">IF(L18&gt;0,N18*100/L18,0)</f>
        <v>86.556646640089042</v>
      </c>
      <c r="P18" s="22">
        <f t="shared" ref="P18:P26" ca="1" si="13">IF(M18&gt;0,N18*100/M18,0)</f>
        <v>83.445621320696503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2053105</v>
      </c>
      <c r="M20" s="30">
        <f t="shared" ca="1" si="15"/>
        <v>2129649</v>
      </c>
      <c r="N20" s="30">
        <f t="shared" ca="1" si="15"/>
        <v>1777098.84</v>
      </c>
      <c r="O20" s="29">
        <f t="shared" ca="1" si="12"/>
        <v>86.556646640089042</v>
      </c>
      <c r="P20" s="29">
        <f t="shared" ca="1" si="13"/>
        <v>83.445621320696503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1827105</v>
      </c>
      <c r="M22" s="41">
        <f t="shared" ca="1" si="18"/>
        <v>1903649</v>
      </c>
      <c r="N22" s="38">
        <f t="shared" ca="1" si="18"/>
        <v>1599098.84</v>
      </c>
      <c r="O22" s="38">
        <f t="shared" ca="1" si="17"/>
        <v>87.520905476149423</v>
      </c>
      <c r="P22" s="38">
        <f t="shared" ca="1" si="13"/>
        <v>84.001769233719031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1547900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279205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226000</v>
      </c>
      <c r="M26" s="49">
        <f t="shared" ca="1" si="22"/>
        <v>226000</v>
      </c>
      <c r="N26" s="49">
        <f t="shared" ca="1" si="22"/>
        <v>178000</v>
      </c>
      <c r="O26" s="49">
        <f t="shared" ca="1" si="17"/>
        <v>78.761061946902657</v>
      </c>
      <c r="P26" s="49">
        <f t="shared" ca="1" si="13"/>
        <v>78.761061946902657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850497</v>
      </c>
      <c r="M28" s="23">
        <f t="shared" si="23"/>
        <v>0</v>
      </c>
      <c r="N28" s="23">
        <f t="shared" ca="1" si="23"/>
        <v>640854</v>
      </c>
      <c r="O28" s="22">
        <f t="shared" ref="O28:O30" ca="1" si="24">IF(L28&gt;0,N28*100/L28,0)</f>
        <v>75.35053033696768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850497</v>
      </c>
      <c r="M30" s="30">
        <f t="shared" si="27"/>
        <v>0</v>
      </c>
      <c r="N30" s="30">
        <f t="shared" ca="1" si="27"/>
        <v>640854</v>
      </c>
      <c r="O30" s="29">
        <f t="shared" ca="1" si="24"/>
        <v>75.35053033696768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850497</v>
      </c>
      <c r="M32" s="38">
        <f t="shared" si="30"/>
        <v>0</v>
      </c>
      <c r="N32" s="38">
        <f t="shared" ca="1" si="30"/>
        <v>640854</v>
      </c>
      <c r="O32" s="38">
        <f t="shared" ca="1" si="29"/>
        <v>75.35053033696768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850497</v>
      </c>
      <c r="M34" s="38">
        <f t="shared" si="32"/>
        <v>0</v>
      </c>
      <c r="N34" s="38">
        <f t="shared" ca="1" si="32"/>
        <v>640854</v>
      </c>
      <c r="O34" s="38">
        <f t="shared" ca="1" si="29"/>
        <v>75.35053033696768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2053105</v>
      </c>
      <c r="M37" s="54">
        <f t="shared" ca="1" si="33"/>
        <v>2129649</v>
      </c>
      <c r="N37" s="54">
        <f t="shared" ca="1" si="33"/>
        <v>1777098.84</v>
      </c>
      <c r="O37" s="55">
        <f t="shared" ca="1" si="29"/>
        <v>86.556646640089042</v>
      </c>
      <c r="P37" s="55">
        <f t="shared" ca="1" si="25"/>
        <v>83.445621320696503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910100</v>
      </c>
      <c r="M41" s="78">
        <f t="shared" ca="1" si="34"/>
        <v>910100</v>
      </c>
      <c r="N41" s="78">
        <f t="shared" ca="1" si="34"/>
        <v>747710.04</v>
      </c>
      <c r="O41" s="77">
        <f t="shared" ref="O41:O43" ca="1" si="35">IF(L41&gt;0,N41*100/L41,0)</f>
        <v>82.156910229645092</v>
      </c>
      <c r="P41" s="77">
        <f t="shared" ref="P41:P43" ca="1" si="36">IF(M41&gt;0,N41*100/M41,0)</f>
        <v>82.156910229645092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910100</v>
      </c>
      <c r="M43" s="78">
        <f t="shared" ca="1" si="38"/>
        <v>910100</v>
      </c>
      <c r="N43" s="78">
        <f t="shared" ca="1" si="38"/>
        <v>747710.04</v>
      </c>
      <c r="O43" s="77">
        <f t="shared" ca="1" si="35"/>
        <v>82.156910229645092</v>
      </c>
      <c r="P43" s="77">
        <f t="shared" ca="1" si="36"/>
        <v>82.156910229645092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684100</v>
      </c>
      <c r="M45" s="49">
        <f ca="1">IFERROR(__xludf.DUMMYFUNCTION("IMPORTRANGE(""https://docs.google.com/spreadsheets/d/1Yj_ptqi66GCucihVvJfMjLAmec39IyEx_6qawtMGysU/edit?usp=sharing"",""สบก!Q71"")"),684100)</f>
        <v>684100</v>
      </c>
      <c r="N45" s="49">
        <f ca="1">IFERROR(__xludf.DUMMYFUNCTION("IMPORTRANGE(""https://docs.google.com/spreadsheets/d/1Yj_ptqi66GCucihVvJfMjLAmec39IyEx_6qawtMGysU/edit?usp=sharing"",""สบก!R71"")"),569710.04)</f>
        <v>569710.04</v>
      </c>
      <c r="O45" s="38">
        <f ca="1">IF(L45&gt;0,N45*100/L45,0)</f>
        <v>83.278766262242357</v>
      </c>
      <c r="P45" s="38">
        <f ca="1">IF(M45&gt;0,N45*100/M45,0)</f>
        <v>83.278766262242357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IFERROR(__xludf.DUMMYFUNCTION("IMPORTRANGE(""https://docs.google.com/spreadsheets/d/1Yj_ptqi66GCucihVvJfMjLAmec39IyEx_6qawtMGysU/edit?usp=sharing"",""สบก!M71"")"),684100)</f>
        <v>684100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IFERROR(__xludf.DUMMYFUNCTION("IMPORTRANGE(""https://docs.google.com/spreadsheets/d/1Yj_ptqi66GCucihVvJfMjLAmec39IyEx_6qawtMGysU/edit?usp=sharing"",""สบก!O71"")"),226000)</f>
        <v>226000</v>
      </c>
      <c r="M49" s="49">
        <f ca="1">L49</f>
        <v>226000</v>
      </c>
      <c r="N49" s="49">
        <f ca="1">IFERROR(__xludf.DUMMYFUNCTION("IMPORTRANGE(""https://docs.google.com/spreadsheets/d/1Yj_ptqi66GCucihVvJfMjLAmec39IyEx_6qawtMGysU/edit?usp=sharing"",""สบก!S71"")"),178000)</f>
        <v>178000</v>
      </c>
      <c r="O49" s="49">
        <f ca="1">IF(L49&gt;0,N49*100/L49,0)</f>
        <v>78.761061946902657</v>
      </c>
      <c r="P49" s="49">
        <f ca="1">IF(M49&gt;0,N49*100/M49,0)</f>
        <v>78.761061946902657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370000</v>
      </c>
      <c r="M53" s="121">
        <f t="shared" ca="1" si="39"/>
        <v>366224</v>
      </c>
      <c r="N53" s="121">
        <f t="shared" ca="1" si="39"/>
        <v>287924</v>
      </c>
      <c r="O53" s="120">
        <f t="shared" ref="O53:O55" ca="1" si="40">IF(L53&gt;0,N53*100/L53,0)</f>
        <v>77.817297297297301</v>
      </c>
      <c r="P53" s="120">
        <f t="shared" ref="P53:P55" ca="1" si="41">IF(M53&gt;0,N53*100/M53,0)</f>
        <v>78.619642623094066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370000</v>
      </c>
      <c r="M55" s="121">
        <f t="shared" ca="1" si="43"/>
        <v>366224</v>
      </c>
      <c r="N55" s="121">
        <f t="shared" ca="1" si="43"/>
        <v>287924</v>
      </c>
      <c r="O55" s="120">
        <f t="shared" ca="1" si="40"/>
        <v>77.817297297297301</v>
      </c>
      <c r="P55" s="120">
        <f t="shared" ca="1" si="41"/>
        <v>78.619642623094066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370000</v>
      </c>
      <c r="M57" s="49">
        <f ca="1">IFERROR(__xludf.DUMMYFUNCTION("IMPORTRANGE(""https://docs.google.com/spreadsheets/d/1Yj_ptqi66GCucihVvJfMjLAmec39IyEx_6qawtMGysU/edit?usp=sharing"",""สบก!Z71"")"),366224)</f>
        <v>366224</v>
      </c>
      <c r="N57" s="49">
        <f ca="1">IFERROR(__xludf.DUMMYFUNCTION("IMPORTRANGE(""https://docs.google.com/spreadsheets/d/1Yj_ptqi66GCucihVvJfMjLAmec39IyEx_6qawtMGysU/edit?usp=sharing"",""สบก!AA71"")"),287924)</f>
        <v>287924</v>
      </c>
      <c r="O57" s="38">
        <f ca="1">IF(L57&gt;0,N57*100/L57,0)</f>
        <v>77.817297297297301</v>
      </c>
      <c r="P57" s="38">
        <f ca="1">IF(M57&gt;0,N57*100/M57,0)</f>
        <v>78.619642623094066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IFERROR(__xludf.DUMMYFUNCTION("IMPORTRANGE(""https://docs.google.com/spreadsheets/d/1Yj_ptqi66GCucihVvJfMjLAmec39IyEx_6qawtMGysU/edit?usp=sharing"",""สบก!V71"")"),370000)</f>
        <v>370000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IFERROR(__xludf.DUMMYFUNCTION("IMPORTRANGE(""https://docs.google.com/spreadsheets/d/1Yj_ptqi66GCucihVvJfMjLAmec39IyEx_6qawtMGysU/edit?usp=sharing"",""สบก!X71"")"),0)</f>
        <v>0</v>
      </c>
      <c r="M61" s="49"/>
      <c r="N61" s="49">
        <f ca="1">IFERROR(__xludf.DUMMYFUNCTION("IMPORTRANGE(""https://docs.google.com/spreadsheets/d/1Yj_ptqi66GCucihVvJfMjLAmec39IyEx_6qawtMGysU/edit?usp=sharing"",""สบก!AB71"")"),0)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IFERROR(__xludf.DUMMYFUNCTION("IMPORTRANGE(""https://docs.google.com/spreadsheets/d/1SX6NBoVAgQJ6U1MVXOaj8PK2l7WJ3RER9xtqwdhxkhw/edit?usp=sharing"",""เพชรบุรี!I9"")"),0)</f>
        <v>0</v>
      </c>
      <c r="J64" s="142">
        <f ca="1">IFERROR(__xludf.DUMMYFUNCTION("IMPORTRANGE(""https://docs.google.com/spreadsheets/d/1SX6NBoVAgQJ6U1MVXOaj8PK2l7WJ3RER9xtqwdhxkhw/edit?usp=sharing"",""เพชรบุรี!J9"")"),0)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IFERROR(__xludf.DUMMYFUNCTION("IMPORTRANGE(""https://docs.google.com/spreadsheets/d/1SX6NBoVAgQJ6U1MVXOaj8PK2l7WJ3RER9xtqwdhxkhw/edit?usp=sharing"",""เพชรบุรี!I10"")"),0)</f>
        <v>0</v>
      </c>
      <c r="J65" s="142">
        <f ca="1">IFERROR(__xludf.DUMMYFUNCTION("IMPORTRANGE(""https://docs.google.com/spreadsheets/d/1SX6NBoVAgQJ6U1MVXOaj8PK2l7WJ3RER9xtqwdhxkhw/edit?usp=sharing"",""เพชรบุรี!J10"")"),0)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IFERROR(__xludf.DUMMYFUNCTION("IMPORTRANGE(""https://docs.google.com/spreadsheets/d/1Yj_ptqi66GCucihVvJfMjLAmec39IyEx_6qawtMGysU/edit?usp=sharing"",""สบก!AI71"")"),0)</f>
        <v>0</v>
      </c>
      <c r="N70" s="169">
        <f ca="1">IFERROR(__xludf.DUMMYFUNCTION("IMPORTRANGE(""https://docs.google.com/spreadsheets/d/1Yj_ptqi66GCucihVvJfMjLAmec39IyEx_6qawtMGysU/edit?usp=sharing"",""สบก!AJ71"")"),0)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IFERROR(__xludf.DUMMYFUNCTION("IMPORTRANGE(""https://docs.google.com/spreadsheets/d/1Yj_ptqi66GCucihVvJfMjLAmec39IyEx_6qawtMGysU/edit?usp=sharing"",""สบก!AG71"")"),0)</f>
        <v>0</v>
      </c>
      <c r="M74" s="49"/>
      <c r="N74" s="49">
        <f ca="1">IFERROR(__xludf.DUMMYFUNCTION("IMPORTRANGE(""https://docs.google.com/spreadsheets/d/1Yj_ptqi66GCucihVvJfMjLAmec39IyEx_6qawtMGysU/edit?usp=sharing"",""สบก!AK71"")"),0)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IFERROR(__xludf.DUMMYFUNCTION("IMPORTRANGE(""https://docs.google.com/spreadsheets/d/1SX6NBoVAgQJ6U1MVXOaj8PK2l7WJ3RER9xtqwdhxkhw/edit?usp=sharing"",""เพชรบุรี!J16"")"),0)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IFERROR(__xludf.DUMMYFUNCTION("IMPORTRANGE(""https://docs.google.com/spreadsheets/d/1SX6NBoVAgQJ6U1MVXOaj8PK2l7WJ3RER9xtqwdhxkhw/edit?usp=sharing"",""เพชรบุรี!J17"")"),0)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IFERROR(__xludf.DUMMYFUNCTION("IMPORTRANGE(""https://docs.google.com/spreadsheets/d/1SX6NBoVAgQJ6U1MVXOaj8PK2l7WJ3RER9xtqwdhxkhw/edit?usp=sharing"",""เพชรบุรี!J18"")"),0)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IFERROR(__xludf.DUMMYFUNCTION("IMPORTRANGE(""https://docs.google.com/spreadsheets/d/1SX6NBoVAgQJ6U1MVXOaj8PK2l7WJ3RER9xtqwdhxkhw/edit?usp=sharing"",""เพชรบุรี!J19"")"),0)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IFERROR(__xludf.DUMMYFUNCTION("IMPORTRANGE(""https://docs.google.com/spreadsheets/d/1SX6NBoVAgQJ6U1MVXOaj8PK2l7WJ3RER9xtqwdhxkhw/edit?usp=sharing"",""เพชรบุรี!I20"")"),0)</f>
        <v>0</v>
      </c>
      <c r="J80" s="201">
        <f ca="1">IFERROR(__xludf.DUMMYFUNCTION("IMPORTRANGE(""https://docs.google.com/spreadsheets/d/1SX6NBoVAgQJ6U1MVXOaj8PK2l7WJ3RER9xtqwdhxkhw/edit?usp=sharing"",""เพชรบุรี!J20"")"),0)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IFERROR(__xludf.DUMMYFUNCTION("IMPORTRANGE(""https://docs.google.com/spreadsheets/d/1SX6NBoVAgQJ6U1MVXOaj8PK2l7WJ3RER9xtqwdhxkhw/edit?usp=sharing"",""เพชรบุรี!I21"")"),0)</f>
        <v>0</v>
      </c>
      <c r="J81" s="201">
        <f ca="1">IFERROR(__xludf.DUMMYFUNCTION("IMPORTRANGE(""https://docs.google.com/spreadsheets/d/1SX6NBoVAgQJ6U1MVXOaj8PK2l7WJ3RER9xtqwdhxkhw/edit?usp=sharing"",""เพชรบุรี!J21"")"),0)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IFERROR(__xludf.DUMMYFUNCTION("IMPORTRANGE(""https://docs.google.com/spreadsheets/d/1SX6NBoVAgQJ6U1MVXOaj8PK2l7WJ3RER9xtqwdhxkhw/edit?usp=sharing"",""เพชรบุรี!I22"")"),0)</f>
        <v>0</v>
      </c>
      <c r="J82" s="204">
        <f ca="1">IFERROR(__xludf.DUMMYFUNCTION("IMPORTRANGE(""https://docs.google.com/spreadsheets/d/1SX6NBoVAgQJ6U1MVXOaj8PK2l7WJ3RER9xtqwdhxkhw/edit?usp=sharing"",""เพชรบุรี!J22"")"),0)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IFERROR(__xludf.DUMMYFUNCTION("IMPORTRANGE(""https://docs.google.com/spreadsheets/d/1SX6NBoVAgQJ6U1MVXOaj8PK2l7WJ3RER9xtqwdhxkhw/edit?usp=sharing"",""เพชรบุรี!I23"")"),0)</f>
        <v>0</v>
      </c>
      <c r="J83" s="204">
        <f ca="1">IFERROR(__xludf.DUMMYFUNCTION("IMPORTRANGE(""https://docs.google.com/spreadsheets/d/1SX6NBoVAgQJ6U1MVXOaj8PK2l7WJ3RER9xtqwdhxkhw/edit?usp=sharing"",""เพชรบุรี!J23"")"),0)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IFERROR(__xludf.DUMMYFUNCTION("IMPORTRANGE(""https://docs.google.com/spreadsheets/d/1SX6NBoVAgQJ6U1MVXOaj8PK2l7WJ3RER9xtqwdhxkhw/edit?usp=sharing"",""เพชรบุรี!I24"")"),0)</f>
        <v>0</v>
      </c>
      <c r="J84" s="189">
        <f ca="1">IFERROR(__xludf.DUMMYFUNCTION("IMPORTRANGE(""https://docs.google.com/spreadsheets/d/1SX6NBoVAgQJ6U1MVXOaj8PK2l7WJ3RER9xtqwdhxkhw/edit?usp=sharing"",""เพชรบุรี!J24"")"),0)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IFERROR(__xludf.DUMMYFUNCTION("IMPORTRANGE(""https://docs.google.com/spreadsheets/d/1SX6NBoVAgQJ6U1MVXOaj8PK2l7WJ3RER9xtqwdhxkhw/edit?usp=sharing"",""เพชรบุรี!I25"")"),0)</f>
        <v>0</v>
      </c>
      <c r="J85" s="189">
        <f ca="1">IFERROR(__xludf.DUMMYFUNCTION("IMPORTRANGE(""https://docs.google.com/spreadsheets/d/1SX6NBoVAgQJ6U1MVXOaj8PK2l7WJ3RER9xtqwdhxkhw/edit?usp=sharing"",""เพชรบุรี!J25"")"),0)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IFERROR(__xludf.DUMMYFUNCTION("IMPORTRANGE(""https://docs.google.com/spreadsheets/d/1SX6NBoVAgQJ6U1MVXOaj8PK2l7WJ3RER9xtqwdhxkhw/edit?usp=sharing"",""เพชรบุรี!I26"")"),0)</f>
        <v>0</v>
      </c>
      <c r="J86" s="204">
        <f ca="1">IFERROR(__xludf.DUMMYFUNCTION("IMPORTRANGE(""https://docs.google.com/spreadsheets/d/1SX6NBoVAgQJ6U1MVXOaj8PK2l7WJ3RER9xtqwdhxkhw/edit?usp=sharing"",""เพชรบุรี!J26"")"),0)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IFERROR(__xludf.DUMMYFUNCTION("IMPORTRANGE(""https://docs.google.com/spreadsheets/d/1SX6NBoVAgQJ6U1MVXOaj8PK2l7WJ3RER9xtqwdhxkhw/edit?usp=sharing"",""เพชรบุรี!I27"")"),0)</f>
        <v>0</v>
      </c>
      <c r="J87" s="204">
        <f ca="1">IFERROR(__xludf.DUMMYFUNCTION("IMPORTRANGE(""https://docs.google.com/spreadsheets/d/1SX6NBoVAgQJ6U1MVXOaj8PK2l7WJ3RER9xtqwdhxkhw/edit?usp=sharing"",""เพชรบุรี!J27"")"),0)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IFERROR(__xludf.DUMMYFUNCTION("IMPORTRANGE(""https://docs.google.com/spreadsheets/d/1SX6NBoVAgQJ6U1MVXOaj8PK2l7WJ3RER9xtqwdhxkhw/edit?usp=sharing"",""เพชรบุรี!I28"")"),0)</f>
        <v>0</v>
      </c>
      <c r="J88" s="204">
        <f ca="1">IFERROR(__xludf.DUMMYFUNCTION("IMPORTRANGE(""https://docs.google.com/spreadsheets/d/1SX6NBoVAgQJ6U1MVXOaj8PK2l7WJ3RER9xtqwdhxkhw/edit?usp=sharing"",""เพชรบุรี!J28"")"),0)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IFERROR(__xludf.DUMMYFUNCTION("IMPORTRANGE(""https://docs.google.com/spreadsheets/d/1SX6NBoVAgQJ6U1MVXOaj8PK2l7WJ3RER9xtqwdhxkhw/edit?usp=sharing"",""เพชรบุรี!J29"")"),0)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IFERROR(__xludf.DUMMYFUNCTION("IMPORTRANGE(""https://docs.google.com/spreadsheets/d/1SX6NBoVAgQJ6U1MVXOaj8PK2l7WJ3RER9xtqwdhxkhw/edit?usp=sharing"",""เพชรบุรี!J30"")"),0)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IFERROR(__xludf.DUMMYFUNCTION("IMPORTRANGE(""https://docs.google.com/spreadsheets/d/1SX6NBoVAgQJ6U1MVXOaj8PK2l7WJ3RER9xtqwdhxkhw/edit?usp=sharing"",""เพชรบุรี!I32"")"),0)</f>
        <v>0</v>
      </c>
      <c r="J92" s="142">
        <f ca="1">IFERROR(__xludf.DUMMYFUNCTION("IMPORTRANGE(""https://docs.google.com/spreadsheets/d/1SX6NBoVAgQJ6U1MVXOaj8PK2l7WJ3RER9xtqwdhxkhw/edit?usp=sharing"",""เพชรบุรี!J32"")"),0)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IFERROR(__xludf.DUMMYFUNCTION("IMPORTRANGE(""https://docs.google.com/spreadsheets/d/1SX6NBoVAgQJ6U1MVXOaj8PK2l7WJ3RER9xtqwdhxkhw/edit?usp=sharing"",""เพชรบุรี!I33"")"),0)</f>
        <v>0</v>
      </c>
      <c r="J93" s="142">
        <f ca="1">IFERROR(__xludf.DUMMYFUNCTION("IMPORTRANGE(""https://docs.google.com/spreadsheets/d/1SX6NBoVAgQJ6U1MVXOaj8PK2l7WJ3RER9xtqwdhxkhw/edit?usp=sharing"",""เพชรบุรี!J33"")"),0)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IFERROR(__xludf.DUMMYFUNCTION("IMPORTRANGE(""https://docs.google.com/spreadsheets/d/1Yj_ptqi66GCucihVvJfMjLAmec39IyEx_6qawtMGysU/edit?usp=sharing"",""สบก!AR71"")"),0)</f>
        <v>0</v>
      </c>
      <c r="N98" s="169">
        <f ca="1">IFERROR(__xludf.DUMMYFUNCTION("IMPORTRANGE(""https://docs.google.com/spreadsheets/d/1Yj_ptqi66GCucihVvJfMjLAmec39IyEx_6qawtMGysU/edit?usp=sharing"",""สบก!AS71"")"),0)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IFERROR(__xludf.DUMMYFUNCTION("IMPORTRANGE(""https://docs.google.com/spreadsheets/d/1Yj_ptqi66GCucihVvJfMjLAmec39IyEx_6qawtMGysU/edit?usp=sharing"",""สบก!AO71"")"),0)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IFERROR(__xludf.DUMMYFUNCTION("IMPORTRANGE(""https://docs.google.com/spreadsheets/d/1Yj_ptqi66GCucihVvJfMjLAmec39IyEx_6qawtMGysU/edit?usp=sharing"",""สบก!AP71"")"),0)</f>
        <v>0</v>
      </c>
      <c r="M102" s="49"/>
      <c r="N102" s="49">
        <f ca="1">IFERROR(__xludf.DUMMYFUNCTION("IMPORTRANGE(""https://docs.google.com/spreadsheets/d/1Yj_ptqi66GCucihVvJfMjLAmec39IyEx_6qawtMGysU/edit?usp=sharing"",""สบก!AT71"")"),0)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IFERROR(__xludf.DUMMYFUNCTION("IMPORTRANGE(""https://docs.google.com/spreadsheets/d/1SX6NBoVAgQJ6U1MVXOaj8PK2l7WJ3RER9xtqwdhxkhw/edit?usp=sharing"",""เพชรบุรี!J39"")"),0)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IFERROR(__xludf.DUMMYFUNCTION("IMPORTRANGE(""https://docs.google.com/spreadsheets/d/1SX6NBoVAgQJ6U1MVXOaj8PK2l7WJ3RER9xtqwdhxkhw/edit?usp=sharing"",""เพชรบุรี!J40"")"),0)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IFERROR(__xludf.DUMMYFUNCTION("IMPORTRANGE(""https://docs.google.com/spreadsheets/d/1SX6NBoVAgQJ6U1MVXOaj8PK2l7WJ3RER9xtqwdhxkhw/edit?usp=sharing"",""เพชรบุรี!J41"")"),0)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IFERROR(__xludf.DUMMYFUNCTION("IMPORTRANGE(""https://docs.google.com/spreadsheets/d/1SX6NBoVAgQJ6U1MVXOaj8PK2l7WJ3RER9xtqwdhxkhw/edit?usp=sharing"",""เพชรบุรี!J42"")"),0)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IFERROR(__xludf.DUMMYFUNCTION("IMPORTRANGE(""https://docs.google.com/spreadsheets/d/1SX6NBoVAgQJ6U1MVXOaj8PK2l7WJ3RER9xtqwdhxkhw/edit?usp=sharing"",""เพชรบุรี!I43"")"),0)</f>
        <v>0</v>
      </c>
      <c r="J108" s="204">
        <f ca="1">IFERROR(__xludf.DUMMYFUNCTION("IMPORTRANGE(""https://docs.google.com/spreadsheets/d/1SX6NBoVAgQJ6U1MVXOaj8PK2l7WJ3RER9xtqwdhxkhw/edit?usp=sharing"",""เพชรบุรี!J43"")"),0)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IFERROR(__xludf.DUMMYFUNCTION("IMPORTRANGE(""https://docs.google.com/spreadsheets/d/1SX6NBoVAgQJ6U1MVXOaj8PK2l7WJ3RER9xtqwdhxkhw/edit?usp=sharing"",""เพชรบุรี!I44"")"),0)</f>
        <v>0</v>
      </c>
      <c r="J109" s="204">
        <f ca="1">IFERROR(__xludf.DUMMYFUNCTION("IMPORTRANGE(""https://docs.google.com/spreadsheets/d/1SX6NBoVAgQJ6U1MVXOaj8PK2l7WJ3RER9xtqwdhxkhw/edit?usp=sharing"",""เพชรบุรี!J44"")"),0)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IFERROR(__xludf.DUMMYFUNCTION("IMPORTRANGE(""https://docs.google.com/spreadsheets/d/1SX6NBoVAgQJ6U1MVXOaj8PK2l7WJ3RER9xtqwdhxkhw/edit?usp=sharing"",""เพชรบุรี!I45"")"),0)</f>
        <v>0</v>
      </c>
      <c r="J110" s="204">
        <f ca="1">IFERROR(__xludf.DUMMYFUNCTION("IMPORTRANGE(""https://docs.google.com/spreadsheets/d/1SX6NBoVAgQJ6U1MVXOaj8PK2l7WJ3RER9xtqwdhxkhw/edit?usp=sharing"",""เพชรบุรี!J45"")"),0)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IFERROR(__xludf.DUMMYFUNCTION("IMPORTRANGE(""https://docs.google.com/spreadsheets/d/1SX6NBoVAgQJ6U1MVXOaj8PK2l7WJ3RER9xtqwdhxkhw/edit?usp=sharing"",""เพชรบุรี!I46"")"),0)</f>
        <v>0</v>
      </c>
      <c r="J111" s="204">
        <f ca="1">IFERROR(__xludf.DUMMYFUNCTION("IMPORTRANGE(""https://docs.google.com/spreadsheets/d/1SX6NBoVAgQJ6U1MVXOaj8PK2l7WJ3RER9xtqwdhxkhw/edit?usp=sharing"",""เพชรบุรี!J46"")"),0)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IFERROR(__xludf.DUMMYFUNCTION("IMPORTRANGE(""https://docs.google.com/spreadsheets/d/1SX6NBoVAgQJ6U1MVXOaj8PK2l7WJ3RER9xtqwdhxkhw/edit?usp=sharing"",""เพชรบุรี!I47"")"),0)</f>
        <v>0</v>
      </c>
      <c r="J112" s="204">
        <f ca="1">IFERROR(__xludf.DUMMYFUNCTION("IMPORTRANGE(""https://docs.google.com/spreadsheets/d/1SX6NBoVAgQJ6U1MVXOaj8PK2l7WJ3RER9xtqwdhxkhw/edit?usp=sharing"",""เพชรบุรี!J47"")"),0)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IFERROR(__xludf.DUMMYFUNCTION("IMPORTRANGE(""https://docs.google.com/spreadsheets/d/1SX6NBoVAgQJ6U1MVXOaj8PK2l7WJ3RER9xtqwdhxkhw/edit?usp=sharing"",""เพชรบุรี!I48"")"),0)</f>
        <v>0</v>
      </c>
      <c r="J113" s="204">
        <f ca="1">IFERROR(__xludf.DUMMYFUNCTION("IMPORTRANGE(""https://docs.google.com/spreadsheets/d/1SX6NBoVAgQJ6U1MVXOaj8PK2l7WJ3RER9xtqwdhxkhw/edit?usp=sharing"",""เพชรบุรี!J48"")"),0)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IFERROR(__xludf.DUMMYFUNCTION("IMPORTRANGE(""https://docs.google.com/spreadsheets/d/1SX6NBoVAgQJ6U1MVXOaj8PK2l7WJ3RER9xtqwdhxkhw/edit?usp=sharing"",""เพชรบุรี!J49"")"),0)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IFERROR(__xludf.DUMMYFUNCTION("IMPORTRANGE(""https://docs.google.com/spreadsheets/d/1SX6NBoVAgQJ6U1MVXOaj8PK2l7WJ3RER9xtqwdhxkhw/edit?usp=sharing"",""เพชรบุรี!J50"")"),0)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IFERROR(__xludf.DUMMYFUNCTION("IMPORTRANGE(""https://docs.google.com/spreadsheets/d/1SX6NBoVAgQJ6U1MVXOaj8PK2l7WJ3RER9xtqwdhxkhw/edit?usp=sharing"",""เพชรบุรี!I52"")"),0)</f>
        <v>0</v>
      </c>
      <c r="J117" s="142">
        <f ca="1">IFERROR(__xludf.DUMMYFUNCTION("IMPORTRANGE(""https://docs.google.com/spreadsheets/d/1SX6NBoVAgQJ6U1MVXOaj8PK2l7WJ3RER9xtqwdhxkhw/edit?usp=sharing"",""เพชรบุรี!J52"")"),0)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IFERROR(__xludf.DUMMYFUNCTION("IMPORTRANGE(""https://docs.google.com/spreadsheets/d/1Yj_ptqi66GCucihVvJfMjLAmec39IyEx_6qawtMGysU/edit?usp=sharing"",""สบก!BA71"")"),0)</f>
        <v>0</v>
      </c>
      <c r="N122" s="169">
        <f ca="1">IFERROR(__xludf.DUMMYFUNCTION("IMPORTRANGE(""https://docs.google.com/spreadsheets/d/1Yj_ptqi66GCucihVvJfMjLAmec39IyEx_6qawtMGysU/edit?usp=sharing"",""สบก!BB71"")"),0)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IFERROR(__xludf.DUMMYFUNCTION("IMPORTRANGE(""https://docs.google.com/spreadsheets/d/1Yj_ptqi66GCucihVvJfMjLAmec39IyEx_6qawtMGysU/edit?usp=sharing"",""สบก!AY71"")"),0)</f>
        <v>0</v>
      </c>
      <c r="M126" s="49"/>
      <c r="N126" s="49">
        <f ca="1">IFERROR(__xludf.DUMMYFUNCTION("IMPORTRANGE(""https://docs.google.com/spreadsheets/d/1Yj_ptqi66GCucihVvJfMjLAmec39IyEx_6qawtMGysU/edit?usp=sharing"",""สบก!BC71"")"),0)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IFERROR(__xludf.DUMMYFUNCTION("IMPORTRANGE(""https://docs.google.com/spreadsheets/d/1SX6NBoVAgQJ6U1MVXOaj8PK2l7WJ3RER9xtqwdhxkhw/edit?usp=sharing"",""เพชรบุรี!J58"")"),0)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IFERROR(__xludf.DUMMYFUNCTION("IMPORTRANGE(""https://docs.google.com/spreadsheets/d/1SX6NBoVAgQJ6U1MVXOaj8PK2l7WJ3RER9xtqwdhxkhw/edit?usp=sharing"",""เพชรบุรี!J59"")"),0)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IFERROR(__xludf.DUMMYFUNCTION("IMPORTRANGE(""https://docs.google.com/spreadsheets/d/1SX6NBoVAgQJ6U1MVXOaj8PK2l7WJ3RER9xtqwdhxkhw/edit?usp=sharing"",""เพชรบุรี!J60"")"),0)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IFERROR(__xludf.DUMMYFUNCTION("IMPORTRANGE(""https://docs.google.com/spreadsheets/d/1SX6NBoVAgQJ6U1MVXOaj8PK2l7WJ3RER9xtqwdhxkhw/edit?usp=sharing"",""เพชรบุรี!J61"")"),0)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IFERROR(__xludf.DUMMYFUNCTION("IMPORTRANGE(""https://docs.google.com/spreadsheets/d/1SX6NBoVAgQJ6U1MVXOaj8PK2l7WJ3RER9xtqwdhxkhw/edit?usp=sharing"",""เพชรบุรี!I62"")"),0)</f>
        <v>0</v>
      </c>
      <c r="J132" s="204">
        <f ca="1">IFERROR(__xludf.DUMMYFUNCTION("IMPORTRANGE(""https://docs.google.com/spreadsheets/d/1SX6NBoVAgQJ6U1MVXOaj8PK2l7WJ3RER9xtqwdhxkhw/edit?usp=sharing"",""เพชรบุรี!J62"")"),0)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IFERROR(__xludf.DUMMYFUNCTION("IMPORTRANGE(""https://docs.google.com/spreadsheets/d/1SX6NBoVAgQJ6U1MVXOaj8PK2l7WJ3RER9xtqwdhxkhw/edit?usp=sharing"",""เพชรบุรี!I63"")"),0)</f>
        <v>0</v>
      </c>
      <c r="J133" s="204">
        <f ca="1">IFERROR(__xludf.DUMMYFUNCTION("IMPORTRANGE(""https://docs.google.com/spreadsheets/d/1SX6NBoVAgQJ6U1MVXOaj8PK2l7WJ3RER9xtqwdhxkhw/edit?usp=sharing"",""เพชรบุรี!J63"")"),0)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IFERROR(__xludf.DUMMYFUNCTION("IMPORTRANGE(""https://docs.google.com/spreadsheets/d/1SX6NBoVAgQJ6U1MVXOaj8PK2l7WJ3RER9xtqwdhxkhw/edit?usp=sharing"",""เพชรบุรี!J64"")"),0)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IFERROR(__xludf.DUMMYFUNCTION("IMPORTRANGE(""https://docs.google.com/spreadsheets/d/1SX6NBoVAgQJ6U1MVXOaj8PK2l7WJ3RER9xtqwdhxkhw/edit?usp=sharing"",""เพชรบุรี!J65"")"),0)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IFERROR(__xludf.DUMMYFUNCTION("IMPORTRANGE(""https://docs.google.com/spreadsheets/d/1SX6NBoVAgQJ6U1MVXOaj8PK2l7WJ3RER9xtqwdhxkhw/edit?usp=sharing"",""เพชรบุรี!I68"")"),0)</f>
        <v>0</v>
      </c>
      <c r="J138" s="268">
        <f ca="1">IFERROR(__xludf.DUMMYFUNCTION("IMPORTRANGE(""https://docs.google.com/spreadsheets/d/1SX6NBoVAgQJ6U1MVXOaj8PK2l7WJ3RER9xtqwdhxkhw/edit?usp=sharing"",""เพชรบุรี!J68"")"),0)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50000</v>
      </c>
      <c r="M140" s="152">
        <f t="shared" ca="1" si="64"/>
        <v>58000</v>
      </c>
      <c r="N140" s="152">
        <f t="shared" ca="1" si="64"/>
        <v>50461</v>
      </c>
      <c r="O140" s="151">
        <f t="shared" ref="O140:O142" ca="1" si="65">IF(L140&gt;0,N140*100/L140,0)</f>
        <v>100.922</v>
      </c>
      <c r="P140" s="151">
        <f t="shared" ref="P140:P142" ca="1" si="66">IF(M140&gt;0,N140*100/M140,0)</f>
        <v>87.001724137931035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50000</v>
      </c>
      <c r="M142" s="157">
        <f t="shared" ca="1" si="68"/>
        <v>58000</v>
      </c>
      <c r="N142" s="157">
        <f t="shared" ca="1" si="68"/>
        <v>50461</v>
      </c>
      <c r="O142" s="156">
        <f t="shared" ca="1" si="65"/>
        <v>100.922</v>
      </c>
      <c r="P142" s="156">
        <f t="shared" ca="1" si="66"/>
        <v>87.001724137931035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50000</v>
      </c>
      <c r="M144" s="168">
        <f ca="1">IFERROR(__xludf.DUMMYFUNCTION("IMPORTRANGE(""https://docs.google.com/spreadsheets/d/1Yj_ptqi66GCucihVvJfMjLAmec39IyEx_6qawtMGysU/edit?usp=sharing"",""สบก!BJ71"")"),58000)</f>
        <v>58000</v>
      </c>
      <c r="N144" s="169">
        <f ca="1">IFERROR(__xludf.DUMMYFUNCTION("IMPORTRANGE(""https://docs.google.com/spreadsheets/d/1Yj_ptqi66GCucihVvJfMjLAmec39IyEx_6qawtMGysU/edit?usp=sharing"",""สบก!BK71"")"),50461)</f>
        <v>50461</v>
      </c>
      <c r="O144" s="169">
        <f ca="1">IF(L144&gt;0,N144*100/L144,0)</f>
        <v>100.922</v>
      </c>
      <c r="P144" s="169">
        <f ca="1">IF(M144&gt;0,N144*100/M144,0)</f>
        <v>87.001724137931035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IFERROR(__xludf.DUMMYFUNCTION("IMPORTRANGE(""https://docs.google.com/spreadsheets/d/1Yj_ptqi66GCucihVvJfMjLAmec39IyEx_6qawtMGysU/edit?usp=sharing"",""สบก!BG71"")"),50000)</f>
        <v>50000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IFERROR(__xludf.DUMMYFUNCTION("IMPORTRANGE(""https://docs.google.com/spreadsheets/d/1Yj_ptqi66GCucihVvJfMjLAmec39IyEx_6qawtMGysU/edit?usp=sharing"",""สบก!BH71"")"),0)</f>
        <v>0</v>
      </c>
      <c r="M148" s="49"/>
      <c r="N148" s="49">
        <f ca="1">IFERROR(__xludf.DUMMYFUNCTION("IMPORTRANGE(""https://docs.google.com/spreadsheets/d/1Yj_ptqi66GCucihVvJfMjLAmec39IyEx_6qawtMGysU/edit?usp=sharing"",""สบก!BL71"")"),0)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IFERROR(__xludf.DUMMYFUNCTION("IMPORTRANGE(""https://docs.google.com/spreadsheets/d/1SX6NBoVAgQJ6U1MVXOaj8PK2l7WJ3RER9xtqwdhxkhw/edit?usp=sharing"",""เพชรบุรี!I74"")"),4)</f>
        <v>4</v>
      </c>
      <c r="J149" s="276">
        <f ca="1">IFERROR(__xludf.DUMMYFUNCTION("IMPORTRANGE(""https://docs.google.com/spreadsheets/d/1SX6NBoVAgQJ6U1MVXOaj8PK2l7WJ3RER9xtqwdhxkhw/edit?usp=sharing"",""เพชรบุรี!J74"")"),3)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IFERROR(__xludf.DUMMYFUNCTION("IMPORTRANGE(""https://docs.google.com/spreadsheets/d/1SX6NBoVAgQJ6U1MVXOaj8PK2l7WJ3RER9xtqwdhxkhw/edit?usp=sharing"",""เพชรบุรี!J79"")"),0)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IFERROR(__xludf.DUMMYFUNCTION("IMPORTRANGE(""https://docs.google.com/spreadsheets/d/1SX6NBoVAgQJ6U1MVXOaj8PK2l7WJ3RER9xtqwdhxkhw/edit?usp=sharing"",""เพชรบุรี!J80"")"),1)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IFERROR(__xludf.DUMMYFUNCTION("IMPORTRANGE(""https://docs.google.com/spreadsheets/d/1SX6NBoVAgQJ6U1MVXOaj8PK2l7WJ3RER9xtqwdhxkhw/edit?usp=sharing"",""เพชรบุรี!J81"")"),1)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IFERROR(__xludf.DUMMYFUNCTION("IMPORTRANGE(""https://docs.google.com/spreadsheets/d/1SX6NBoVAgQJ6U1MVXOaj8PK2l7WJ3RER9xtqwdhxkhw/edit?usp=sharing"",""เพชรบุรี!J82"")"),1)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IFERROR(__xludf.DUMMYFUNCTION("IMPORTRANGE(""https://docs.google.com/spreadsheets/d/1SX6NBoVAgQJ6U1MVXOaj8PK2l7WJ3RER9xtqwdhxkhw/edit?usp=sharing"",""เพชรบุรี!I83"")"),4)</f>
        <v>4</v>
      </c>
      <c r="J158" s="189">
        <f ca="1">IFERROR(__xludf.DUMMYFUNCTION("IMPORTRANGE(""https://docs.google.com/spreadsheets/d/1SX6NBoVAgQJ6U1MVXOaj8PK2l7WJ3RER9xtqwdhxkhw/edit?usp=sharing"",""เพชรบุรี!J83"")"),3)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IFERROR(__xludf.DUMMYFUNCTION("IMPORTRANGE(""https://docs.google.com/spreadsheets/d/1SX6NBoVAgQJ6U1MVXOaj8PK2l7WJ3RER9xtqwdhxkhw/edit?usp=sharing"",""เพชรบุรี!J84"")"),130)</f>
        <v>130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IFERROR(__xludf.DUMMYFUNCTION("IMPORTRANGE(""https://docs.google.com/spreadsheets/d/1SX6NBoVAgQJ6U1MVXOaj8PK2l7WJ3RER9xtqwdhxkhw/edit?usp=sharing"",""เพชรบุรี!J85"")"),130)</f>
        <v>130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IFERROR(__xludf.DUMMYFUNCTION("IMPORTRANGE(""https://docs.google.com/spreadsheets/d/1SX6NBoVAgQJ6U1MVXOaj8PK2l7WJ3RER9xtqwdhxkhw/edit?usp=sharing"",""เพชรบุรี!J86"")"),0)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IFERROR(__xludf.DUMMYFUNCTION("IMPORTRANGE(""https://docs.google.com/spreadsheets/d/1SX6NBoVAgQJ6U1MVXOaj8PK2l7WJ3RER9xtqwdhxkhw/edit?usp=sharing"",""เพชรบุรี!J87"")"),0)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IFERROR(__xludf.DUMMYFUNCTION("IMPORTRANGE(""https://docs.google.com/spreadsheets/d/1SX6NBoVAgQJ6U1MVXOaj8PK2l7WJ3RER9xtqwdhxkhw/edit?usp=sharing"",""เพชรบุรี!J88"")"),0)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IFERROR(__xludf.DUMMYFUNCTION("IMPORTRANGE(""https://docs.google.com/spreadsheets/d/1SX6NBoVAgQJ6U1MVXOaj8PK2l7WJ3RER9xtqwdhxkhw/edit?usp=sharing"",""เพชรบุรี!I89"")"),2)</f>
        <v>2</v>
      </c>
      <c r="J164" s="285">
        <f ca="1">IFERROR(__xludf.DUMMYFUNCTION("IMPORTRANGE(""https://docs.google.com/spreadsheets/d/1SX6NBoVAgQJ6U1MVXOaj8PK2l7WJ3RER9xtqwdhxkhw/edit?usp=sharing"",""เพชรบุรี!J89"")"),2)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IFERROR(__xludf.DUMMYFUNCTION("IMPORTRANGE(""https://docs.google.com/spreadsheets/d/1SX6NBoVAgQJ6U1MVXOaj8PK2l7WJ3RER9xtqwdhxkhw/edit?usp=sharing"",""เพชรบุรี!J94"")"),0)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IFERROR(__xludf.DUMMYFUNCTION("IMPORTRANGE(""https://docs.google.com/spreadsheets/d/1SX6NBoVAgQJ6U1MVXOaj8PK2l7WJ3RER9xtqwdhxkhw/edit?usp=sharing"",""เพชรบุรี!J95"")"),1)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IFERROR(__xludf.DUMMYFUNCTION("IMPORTRANGE(""https://docs.google.com/spreadsheets/d/1SX6NBoVAgQJ6U1MVXOaj8PK2l7WJ3RER9xtqwdhxkhw/edit?usp=sharing"",""เพชรบุรี!J96"")"),1)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IFERROR(__xludf.DUMMYFUNCTION("IMPORTRANGE(""https://docs.google.com/spreadsheets/d/1SX6NBoVAgQJ6U1MVXOaj8PK2l7WJ3RER9xtqwdhxkhw/edit?usp=sharing"",""เพชรบุรี!J97"")"),1)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IFERROR(__xludf.DUMMYFUNCTION("IMPORTRANGE(""https://docs.google.com/spreadsheets/d/1SX6NBoVAgQJ6U1MVXOaj8PK2l7WJ3RER9xtqwdhxkhw/edit?usp=sharing"",""เพชรบุรี!I98"")"),2)</f>
        <v>2</v>
      </c>
      <c r="J173" s="189">
        <f ca="1">IFERROR(__xludf.DUMMYFUNCTION("IMPORTRANGE(""https://docs.google.com/spreadsheets/d/1SX6NBoVAgQJ6U1MVXOaj8PK2l7WJ3RER9xtqwdhxkhw/edit?usp=sharing"",""เพชรบุรี!J98"")"),2)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IFERROR(__xludf.DUMMYFUNCTION("IMPORTRANGE(""https://docs.google.com/spreadsheets/d/1SX6NBoVAgQJ6U1MVXOaj8PK2l7WJ3RER9xtqwdhxkhw/edit?usp=sharing"",""เพชรบุรี!J99"")"),0)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IFERROR(__xludf.DUMMYFUNCTION("IMPORTRANGE(""https://docs.google.com/spreadsheets/d/1SX6NBoVAgQJ6U1MVXOaj8PK2l7WJ3RER9xtqwdhxkhw/edit?usp=sharing"",""เพชรบุรี!J100"")"),0)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IFERROR(__xludf.DUMMYFUNCTION("IMPORTRANGE(""https://docs.google.com/spreadsheets/d/1SX6NBoVAgQJ6U1MVXOaj8PK2l7WJ3RER9xtqwdhxkhw/edit?usp=sharing"",""เพชรบุรี!I101"")"),0)</f>
        <v>0</v>
      </c>
      <c r="J176" s="285">
        <f ca="1">IFERROR(__xludf.DUMMYFUNCTION("IMPORTRANGE(""https://docs.google.com/spreadsheets/d/1SX6NBoVAgQJ6U1MVXOaj8PK2l7WJ3RER9xtqwdhxkhw/edit?usp=sharing"",""เพชรบุรี!J101"")"),0)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IFERROR(__xludf.DUMMYFUNCTION("IMPORTRANGE(""https://docs.google.com/spreadsheets/d/1SX6NBoVAgQJ6U1MVXOaj8PK2l7WJ3RER9xtqwdhxkhw/edit?usp=sharing"",""เพชรบุรี!J106"")"),0)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IFERROR(__xludf.DUMMYFUNCTION("IMPORTRANGE(""https://docs.google.com/spreadsheets/d/1SX6NBoVAgQJ6U1MVXOaj8PK2l7WJ3RER9xtqwdhxkhw/edit?usp=sharing"",""เพชรบุรี!J107"")"),0)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IFERROR(__xludf.DUMMYFUNCTION("IMPORTRANGE(""https://docs.google.com/spreadsheets/d/1SX6NBoVAgQJ6U1MVXOaj8PK2l7WJ3RER9xtqwdhxkhw/edit?usp=sharing"",""เพชรบุรี!J108"")"),0)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IFERROR(__xludf.DUMMYFUNCTION("IMPORTRANGE(""https://docs.google.com/spreadsheets/d/1SX6NBoVAgQJ6U1MVXOaj8PK2l7WJ3RER9xtqwdhxkhw/edit?usp=sharing"",""เพชรบุรี!J109"")"),0)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IFERROR(__xludf.DUMMYFUNCTION("IMPORTRANGE(""https://docs.google.com/spreadsheets/d/1SX6NBoVAgQJ6U1MVXOaj8PK2l7WJ3RER9xtqwdhxkhw/edit?usp=sharing"",""เพชรบุรี!I110"")"),0)</f>
        <v>0</v>
      </c>
      <c r="J185" s="204">
        <f ca="1">IFERROR(__xludf.DUMMYFUNCTION("IMPORTRANGE(""https://docs.google.com/spreadsheets/d/1SX6NBoVAgQJ6U1MVXOaj8PK2l7WJ3RER9xtqwdhxkhw/edit?usp=sharing"",""เพชรบุรี!J110"")"),0)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IFERROR(__xludf.DUMMYFUNCTION("IMPORTRANGE(""https://docs.google.com/spreadsheets/d/1SX6NBoVAgQJ6U1MVXOaj8PK2l7WJ3RER9xtqwdhxkhw/edit?usp=sharing"",""เพชรบุรี!I111"")"),0)</f>
        <v>0</v>
      </c>
      <c r="J186" s="204">
        <f ca="1">IFERROR(__xludf.DUMMYFUNCTION("IMPORTRANGE(""https://docs.google.com/spreadsheets/d/1SX6NBoVAgQJ6U1MVXOaj8PK2l7WJ3RER9xtqwdhxkhw/edit?usp=sharing"",""เพชรบุรี!J111"")"),0)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IFERROR(__xludf.DUMMYFUNCTION("IMPORTRANGE(""https://docs.google.com/spreadsheets/d/1SX6NBoVAgQJ6U1MVXOaj8PK2l7WJ3RER9xtqwdhxkhw/edit?usp=sharing"",""เพชรบุรี!J112"")"),0)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IFERROR(__xludf.DUMMYFUNCTION("IMPORTRANGE(""https://docs.google.com/spreadsheets/d/1SX6NBoVAgQJ6U1MVXOaj8PK2l7WJ3RER9xtqwdhxkhw/edit?usp=sharing"",""เพชรบุรี!J113"")"),0)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IFERROR(__xludf.DUMMYFUNCTION("IMPORTRANGE(""https://docs.google.com/spreadsheets/d/1SX6NBoVAgQJ6U1MVXOaj8PK2l7WJ3RER9xtqwdhxkhw/edit?usp=sharing"",""เพชรบุรี!I114"")"),30000)</f>
        <v>30000</v>
      </c>
      <c r="J189" s="285">
        <f ca="1">IFERROR(__xludf.DUMMYFUNCTION("IMPORTRANGE(""https://docs.google.com/spreadsheets/d/1SX6NBoVAgQJ6U1MVXOaj8PK2l7WJ3RER9xtqwdhxkhw/edit?usp=sharing"",""เพชรบุรี!J114"")"),0)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IFERROR(__xludf.DUMMYFUNCTION("IMPORTRANGE(""https://docs.google.com/spreadsheets/d/1SX6NBoVAgQJ6U1MVXOaj8PK2l7WJ3RER9xtqwdhxkhw/edit?usp=sharing"",""เพชรบุรี!J119"")"),0)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IFERROR(__xludf.DUMMYFUNCTION("IMPORTRANGE(""https://docs.google.com/spreadsheets/d/1SX6NBoVAgQJ6U1MVXOaj8PK2l7WJ3RER9xtqwdhxkhw/edit?usp=sharing"",""เพชรบุรี!J120"")"),1)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IFERROR(__xludf.DUMMYFUNCTION("IMPORTRANGE(""https://docs.google.com/spreadsheets/d/1SX6NBoVAgQJ6U1MVXOaj8PK2l7WJ3RER9xtqwdhxkhw/edit?usp=sharing"",""เพชรบุรี!J121"")"),1)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IFERROR(__xludf.DUMMYFUNCTION("IMPORTRANGE(""https://docs.google.com/spreadsheets/d/1SX6NBoVAgQJ6U1MVXOaj8PK2l7WJ3RER9xtqwdhxkhw/edit?usp=sharing"",""เพชรบุรี!J122"")"),1)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IFERROR(__xludf.DUMMYFUNCTION("IMPORTRANGE(""https://docs.google.com/spreadsheets/d/1SX6NBoVAgQJ6U1MVXOaj8PK2l7WJ3RER9xtqwdhxkhw/edit?usp=sharing"",""เพชรบุรี!I124"")"),30000)</f>
        <v>30000</v>
      </c>
      <c r="J199" s="189">
        <f ca="1">IFERROR(__xludf.DUMMYFUNCTION("IMPORTRANGE(""https://docs.google.com/spreadsheets/d/1SX6NBoVAgQJ6U1MVXOaj8PK2l7WJ3RER9xtqwdhxkhw/edit?usp=sharing"",""เพชรบุรี!J124"")"),30000)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IFERROR(__xludf.DUMMYFUNCTION("IMPORTRANGE(""https://docs.google.com/spreadsheets/d/1SX6NBoVAgQJ6U1MVXOaj8PK2l7WJ3RER9xtqwdhxkhw/edit?usp=sharing"",""เพชรบุรี!I125"")"),30000)</f>
        <v>30000</v>
      </c>
      <c r="J200" s="189">
        <f ca="1">IFERROR(__xludf.DUMMYFUNCTION("IMPORTRANGE(""https://docs.google.com/spreadsheets/d/1SX6NBoVAgQJ6U1MVXOaj8PK2l7WJ3RER9xtqwdhxkhw/edit?usp=sharing"",""เพชรบุรี!J125"")"),0)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IFERROR(__xludf.DUMMYFUNCTION("IMPORTRANGE(""https://docs.google.com/spreadsheets/d/1SX6NBoVAgQJ6U1MVXOaj8PK2l7WJ3RER9xtqwdhxkhw/edit?usp=sharing"",""เพชรบุรี!I126"")"),0)</f>
        <v>0</v>
      </c>
      <c r="J201" s="189">
        <f ca="1">IFERROR(__xludf.DUMMYFUNCTION("IMPORTRANGE(""https://docs.google.com/spreadsheets/d/1SX6NBoVAgQJ6U1MVXOaj8PK2l7WJ3RER9xtqwdhxkhw/edit?usp=sharing"",""เพชรบุรี!J126"")"),0)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IFERROR(__xludf.DUMMYFUNCTION("IMPORTRANGE(""https://docs.google.com/spreadsheets/d/1SX6NBoVAgQJ6U1MVXOaj8PK2l7WJ3RER9xtqwdhxkhw/edit?usp=sharing"",""เพชรบุรี!J127"")"),0)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IFERROR(__xludf.DUMMYFUNCTION("IMPORTRANGE(""https://docs.google.com/spreadsheets/d/1SX6NBoVAgQJ6U1MVXOaj8PK2l7WJ3RER9xtqwdhxkhw/edit?usp=sharing"",""เพชรบุรี!J128"")"),0)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IFERROR(__xludf.DUMMYFUNCTION("IMPORTRANGE(""https://docs.google.com/spreadsheets/d/1SX6NBoVAgQJ6U1MVXOaj8PK2l7WJ3RER9xtqwdhxkhw/edit?usp=sharing"",""เพชรบุรี!I129"")"),0)</f>
        <v>0</v>
      </c>
      <c r="J204" s="285">
        <f ca="1">IFERROR(__xludf.DUMMYFUNCTION("IMPORTRANGE(""https://docs.google.com/spreadsheets/d/1SX6NBoVAgQJ6U1MVXOaj8PK2l7WJ3RER9xtqwdhxkhw/edit?usp=sharing"",""เพชรบุรี!J129"")"),0)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IFERROR(__xludf.DUMMYFUNCTION("IMPORTRANGE(""https://docs.google.com/spreadsheets/d/1SX6NBoVAgQJ6U1MVXOaj8PK2l7WJ3RER9xtqwdhxkhw/edit?usp=sharing"",""เพชรบุรี!J134"")"),0)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IFERROR(__xludf.DUMMYFUNCTION("IMPORTRANGE(""https://docs.google.com/spreadsheets/d/1SX6NBoVAgQJ6U1MVXOaj8PK2l7WJ3RER9xtqwdhxkhw/edit?usp=sharing"",""เพชรบุรี!J135"")"),0)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IFERROR(__xludf.DUMMYFUNCTION("IMPORTRANGE(""https://docs.google.com/spreadsheets/d/1SX6NBoVAgQJ6U1MVXOaj8PK2l7WJ3RER9xtqwdhxkhw/edit?usp=sharing"",""เพชรบุรี!J136"")"),0)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IFERROR(__xludf.DUMMYFUNCTION("IMPORTRANGE(""https://docs.google.com/spreadsheets/d/1SX6NBoVAgQJ6U1MVXOaj8PK2l7WJ3RER9xtqwdhxkhw/edit?usp=sharing"",""เพชรบุรี!J137"")"),0)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IFERROR(__xludf.DUMMYFUNCTION("IMPORTRANGE(""https://docs.google.com/spreadsheets/d/1SX6NBoVAgQJ6U1MVXOaj8PK2l7WJ3RER9xtqwdhxkhw/edit?usp=sharing"",""เพชรบุรี!I138"")"),0)</f>
        <v>0</v>
      </c>
      <c r="J213" s="204">
        <f ca="1">IFERROR(__xludf.DUMMYFUNCTION("IMPORTRANGE(""https://docs.google.com/spreadsheets/d/1SX6NBoVAgQJ6U1MVXOaj8PK2l7WJ3RER9xtqwdhxkhw/edit?usp=sharing"",""เพชรบุรี!J138"")"),0)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IFERROR(__xludf.DUMMYFUNCTION("IMPORTRANGE(""https://docs.google.com/spreadsheets/d/1SX6NBoVAgQJ6U1MVXOaj8PK2l7WJ3RER9xtqwdhxkhw/edit?usp=sharing"",""เพชรบุรี!I140"")"),0)</f>
        <v>0</v>
      </c>
      <c r="J215" s="204">
        <f ca="1">IFERROR(__xludf.DUMMYFUNCTION("IMPORTRANGE(""https://docs.google.com/spreadsheets/d/1SX6NBoVAgQJ6U1MVXOaj8PK2l7WJ3RER9xtqwdhxkhw/edit?usp=sharing"",""เพชรบุรี!J140"")"),0)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IFERROR(__xludf.DUMMYFUNCTION("IMPORTRANGE(""https://docs.google.com/spreadsheets/d/1SX6NBoVAgQJ6U1MVXOaj8PK2l7WJ3RER9xtqwdhxkhw/edit?usp=sharing"",""เพชรบุรี!I141"")"),0)</f>
        <v>0</v>
      </c>
      <c r="J216" s="204">
        <f ca="1">IFERROR(__xludf.DUMMYFUNCTION("IMPORTRANGE(""https://docs.google.com/spreadsheets/d/1SX6NBoVAgQJ6U1MVXOaj8PK2l7WJ3RER9xtqwdhxkhw/edit?usp=sharing"",""เพชรบุรี!J141"")"),0)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IFERROR(__xludf.DUMMYFUNCTION("IMPORTRANGE(""https://docs.google.com/spreadsheets/d/1SX6NBoVAgQJ6U1MVXOaj8PK2l7WJ3RER9xtqwdhxkhw/edit?usp=sharing"",""เพชรบุรี!J142"")"),0)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IFERROR(__xludf.DUMMYFUNCTION("IMPORTRANGE(""https://docs.google.com/spreadsheets/d/1SX6NBoVAgQJ6U1MVXOaj8PK2l7WJ3RER9xtqwdhxkhw/edit?usp=sharing"",""เพชรบุรี!J143"")"),0)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IFERROR(__xludf.DUMMYFUNCTION("IMPORTRANGE(""https://docs.google.com/spreadsheets/d/1SX6NBoVAgQJ6U1MVXOaj8PK2l7WJ3RER9xtqwdhxkhw/edit?usp=sharing"",""เพชรบุรี!I144"")"),15)</f>
        <v>15</v>
      </c>
      <c r="J219" s="268">
        <f ca="1">IFERROR(__xludf.DUMMYFUNCTION("IMPORTRANGE(""https://docs.google.com/spreadsheets/d/1SX6NBoVAgQJ6U1MVXOaj8PK2l7WJ3RER9xtqwdhxkhw/edit?usp=sharing"",""เพชรบุรี!J144"")"),15)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IFERROR(__xludf.DUMMYFUNCTION("IMPORTRANGE(""https://docs.google.com/spreadsheets/d/1Yj_ptqi66GCucihVvJfMjLAmec39IyEx_6qawtMGysU/edit?usp=sharing"",""สบก!BS71"")"),21125)</f>
        <v>21125</v>
      </c>
      <c r="N224" s="169">
        <f ca="1">IFERROR(__xludf.DUMMYFUNCTION("IMPORTRANGE(""https://docs.google.com/spreadsheets/d/1Yj_ptqi66GCucihVvJfMjLAmec39IyEx_6qawtMGysU/edit?usp=sharing"",""สบก!BT71"")"),21125)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IFERROR(__xludf.DUMMYFUNCTION("IMPORTRANGE(""https://docs.google.com/spreadsheets/d/1Yj_ptqi66GCucihVvJfMjLAmec39IyEx_6qawtMGysU/edit?usp=sharing"",""สบก!BQ71"")"),0)</f>
        <v>0</v>
      </c>
      <c r="M228" s="49"/>
      <c r="N228" s="49">
        <f ca="1">IFERROR(__xludf.DUMMYFUNCTION("IMPORTRANGE(""https://docs.google.com/spreadsheets/d/1Yj_ptqi66GCucihVvJfMjLAmec39IyEx_6qawtMGysU/edit?usp=sharing"",""สบก!BU71"")"),0)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IFERROR(__xludf.DUMMYFUNCTION("IMPORTRANGE(""https://docs.google.com/spreadsheets/d/1SX6NBoVAgQJ6U1MVXOaj8PK2l7WJ3RER9xtqwdhxkhw/edit?usp=sharing"",""เพชรบุรี!I149"")"),15)</f>
        <v>15</v>
      </c>
      <c r="J229" s="268">
        <f ca="1">IFERROR(__xludf.DUMMYFUNCTION("IMPORTRANGE(""https://docs.google.com/spreadsheets/d/1SX6NBoVAgQJ6U1MVXOaj8PK2l7WJ3RER9xtqwdhxkhw/edit?usp=sharing"",""เพชรบุรี!J149"")"),15)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IFERROR(__xludf.DUMMYFUNCTION("IMPORTRANGE(""https://docs.google.com/spreadsheets/d/1SX6NBoVAgQJ6U1MVXOaj8PK2l7WJ3RER9xtqwdhxkhw/edit?usp=sharing"",""เพชรบุรี!J151"")"),0)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IFERROR(__xludf.DUMMYFUNCTION("IMPORTRANGE(""https://docs.google.com/spreadsheets/d/1SX6NBoVAgQJ6U1MVXOaj8PK2l7WJ3RER9xtqwdhxkhw/edit?usp=sharing"",""เพชรบุรี!J152"")"),1)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IFERROR(__xludf.DUMMYFUNCTION("IMPORTRANGE(""https://docs.google.com/spreadsheets/d/1SX6NBoVAgQJ6U1MVXOaj8PK2l7WJ3RER9xtqwdhxkhw/edit?usp=sharing"",""เพชรบุรี!J153"")"),1)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IFERROR(__xludf.DUMMYFUNCTION("IMPORTRANGE(""https://docs.google.com/spreadsheets/d/1SX6NBoVAgQJ6U1MVXOaj8PK2l7WJ3RER9xtqwdhxkhw/edit?usp=sharing"",""เพชรบุรี!J154"")"),1)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IFERROR(__xludf.DUMMYFUNCTION("IMPORTRANGE(""https://docs.google.com/spreadsheets/d/1SX6NBoVAgQJ6U1MVXOaj8PK2l7WJ3RER9xtqwdhxkhw/edit?usp=sharing"",""เพชรบุรี!I155"")"),15)</f>
        <v>15</v>
      </c>
      <c r="J235" s="189">
        <f ca="1">IFERROR(__xludf.DUMMYFUNCTION("IMPORTRANGE(""https://docs.google.com/spreadsheets/d/1SX6NBoVAgQJ6U1MVXOaj8PK2l7WJ3RER9xtqwdhxkhw/edit?usp=sharing"",""เพชรบุรี!J155"")"),15)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IFERROR(__xludf.DUMMYFUNCTION("IMPORTRANGE(""https://docs.google.com/spreadsheets/d/1SX6NBoVAgQJ6U1MVXOaj8PK2l7WJ3RER9xtqwdhxkhw/edit?usp=sharing"",""เพชรบุรี!J156"")"),0)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IFERROR(__xludf.DUMMYFUNCTION("IMPORTRANGE(""https://docs.google.com/spreadsheets/d/1SX6NBoVAgQJ6U1MVXOaj8PK2l7WJ3RER9xtqwdhxkhw/edit?usp=sharing"",""เพชรบุรี!J157"")"),0)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IFERROR(__xludf.DUMMYFUNCTION("IMPORTRANGE(""https://docs.google.com/spreadsheets/d/1SX6NBoVAgQJ6U1MVXOaj8PK2l7WJ3RER9xtqwdhxkhw/edit?usp=sharing"",""เพชรบุรี!I158"")"),0)</f>
        <v>0</v>
      </c>
      <c r="J238" s="268">
        <f ca="1">IFERROR(__xludf.DUMMYFUNCTION("IMPORTRANGE(""https://docs.google.com/spreadsheets/d/1SX6NBoVAgQJ6U1MVXOaj8PK2l7WJ3RER9xtqwdhxkhw/edit?usp=sharing"",""เพชรบุรี!J158"")"),0)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IFERROR(__xludf.DUMMYFUNCTION("IMPORTRANGE(""https://docs.google.com/spreadsheets/d/1SX6NBoVAgQJ6U1MVXOaj8PK2l7WJ3RER9xtqwdhxkhw/edit?usp=sharing"",""เพชรบุรี!J159"")"),"")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IFERROR(__xludf.DUMMYFUNCTION("IMPORTRANGE(""https://docs.google.com/spreadsheets/d/1SX6NBoVAgQJ6U1MVXOaj8PK2l7WJ3RER9xtqwdhxkhw/edit?usp=sharing"",""เพชรบุรี!J161"")"),0)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IFERROR(__xludf.DUMMYFUNCTION("IMPORTRANGE(""https://docs.google.com/spreadsheets/d/1SX6NBoVAgQJ6U1MVXOaj8PK2l7WJ3RER9xtqwdhxkhw/edit?usp=sharing"",""เพชรบุรี!J162"")"),0)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IFERROR(__xludf.DUMMYFUNCTION("IMPORTRANGE(""https://docs.google.com/spreadsheets/d/1SX6NBoVAgQJ6U1MVXOaj8PK2l7WJ3RER9xtqwdhxkhw/edit?usp=sharing"",""เพชรบุรี!J163"")"),0)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IFERROR(__xludf.DUMMYFUNCTION("IMPORTRANGE(""https://docs.google.com/spreadsheets/d/1SX6NBoVAgQJ6U1MVXOaj8PK2l7WJ3RER9xtqwdhxkhw/edit?usp=sharing"",""เพชรบุรี!I164"")"),0)</f>
        <v>0</v>
      </c>
      <c r="J244" s="188">
        <f ca="1">IFERROR(__xludf.DUMMYFUNCTION("IMPORTRANGE(""https://docs.google.com/spreadsheets/d/1SX6NBoVAgQJ6U1MVXOaj8PK2l7WJ3RER9xtqwdhxkhw/edit?usp=sharing"",""เพชรบุรี!J164"")"),0)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IFERROR(__xludf.DUMMYFUNCTION("IMPORTRANGE(""https://docs.google.com/spreadsheets/d/1SX6NBoVAgQJ6U1MVXOaj8PK2l7WJ3RER9xtqwdhxkhw/edit?usp=sharing"",""เพชรบุรี!J165"")"),0)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IFERROR(__xludf.DUMMYFUNCTION("IMPORTRANGE(""https://docs.google.com/spreadsheets/d/1SX6NBoVAgQJ6U1MVXOaj8PK2l7WJ3RER9xtqwdhxkhw/edit?usp=sharing"",""เพชรบุรี!J166"")"),0)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IFERROR(__xludf.DUMMYFUNCTION("IMPORTRANGE(""https://docs.google.com/spreadsheets/d/1SX6NBoVAgQJ6U1MVXOaj8PK2l7WJ3RER9xtqwdhxkhw/edit?usp=sharing"",""เพชรบุรี!I169"")"),0)</f>
        <v>0</v>
      </c>
      <c r="J249" s="317">
        <f ca="1">IFERROR(__xludf.DUMMYFUNCTION("IMPORTRANGE(""https://docs.google.com/spreadsheets/d/1SX6NBoVAgQJ6U1MVXOaj8PK2l7WJ3RER9xtqwdhxkhw/edit?usp=sharing"",""เพชรบุรี!J169"")"),0)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IFERROR(__xludf.DUMMYFUNCTION("IMPORTRANGE(""https://docs.google.com/spreadsheets/d/1Yj_ptqi66GCucihVvJfMjLAmec39IyEx_6qawtMGysU/edit?usp=sharing"",""สบก!CB71"")"),0)</f>
        <v>0</v>
      </c>
      <c r="N254" s="169">
        <f ca="1">IFERROR(__xludf.DUMMYFUNCTION("IMPORTRANGE(""https://docs.google.com/spreadsheets/d/1Yj_ptqi66GCucihVvJfMjLAmec39IyEx_6qawtMGysU/edit?usp=sharing"",""สบก!CC71"")"),0)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IFERROR(__xludf.DUMMYFUNCTION("IMPORTRANGE(""https://docs.google.com/spreadsheets/d/1Yj_ptqi66GCucihVvJfMjLAmec39IyEx_6qawtMGysU/edit?usp=sharing"",""สบก!BY71"")"),0)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IFERROR(__xludf.DUMMYFUNCTION("IMPORTRANGE(""https://docs.google.com/spreadsheets/d/1Yj_ptqi66GCucihVvJfMjLAmec39IyEx_6qawtMGysU/edit?usp=sharing"",""สบก!BZ71"")"),0)</f>
        <v>0</v>
      </c>
      <c r="M258" s="49"/>
      <c r="N258" s="49">
        <f ca="1">IFERROR(__xludf.DUMMYFUNCTION("IMPORTRANGE(""https://docs.google.com/spreadsheets/d/1Yj_ptqi66GCucihVvJfMjLAmec39IyEx_6qawtMGysU/edit?usp=sharing"",""สบก!CD71"")"),0)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IFERROR(__xludf.DUMMYFUNCTION("IMPORTRANGE(""https://docs.google.com/spreadsheets/d/1SX6NBoVAgQJ6U1MVXOaj8PK2l7WJ3RER9xtqwdhxkhw/edit?usp=sharing"",""เพชรบุรี!J175"")"),0)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IFERROR(__xludf.DUMMYFUNCTION("IMPORTRANGE(""https://docs.google.com/spreadsheets/d/1SX6NBoVAgQJ6U1MVXOaj8PK2l7WJ3RER9xtqwdhxkhw/edit?usp=sharing"",""เพชรบุรี!J176"")"),0)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IFERROR(__xludf.DUMMYFUNCTION("IMPORTRANGE(""https://docs.google.com/spreadsheets/d/1SX6NBoVAgQJ6U1MVXOaj8PK2l7WJ3RER9xtqwdhxkhw/edit?usp=sharing"",""เพชรบุรี!J177"")"),0)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IFERROR(__xludf.DUMMYFUNCTION("IMPORTRANGE(""https://docs.google.com/spreadsheets/d/1SX6NBoVAgQJ6U1MVXOaj8PK2l7WJ3RER9xtqwdhxkhw/edit?usp=sharing"",""เพชรบุรี!J178"")"),0)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IFERROR(__xludf.DUMMYFUNCTION("IMPORTRANGE(""https://docs.google.com/spreadsheets/d/1SX6NBoVAgQJ6U1MVXOaj8PK2l7WJ3RER9xtqwdhxkhw/edit?usp=sharing"",""เพชรบุรี!I179"")"),0)</f>
        <v>0</v>
      </c>
      <c r="J264" s="189">
        <f ca="1">IFERROR(__xludf.DUMMYFUNCTION("IMPORTRANGE(""https://docs.google.com/spreadsheets/d/1SX6NBoVAgQJ6U1MVXOaj8PK2l7WJ3RER9xtqwdhxkhw/edit?usp=sharing"",""เพชรบุรี!J179"")"),0)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IFERROR(__xludf.DUMMYFUNCTION("IMPORTRANGE(""https://docs.google.com/spreadsheets/d/1SX6NBoVAgQJ6U1MVXOaj8PK2l7WJ3RER9xtqwdhxkhw/edit?usp=sharing"",""เพชรบุรี!I180"")"),0)</f>
        <v>0</v>
      </c>
      <c r="J265" s="189">
        <f ca="1">IFERROR(__xludf.DUMMYFUNCTION("IMPORTRANGE(""https://docs.google.com/spreadsheets/d/1SX6NBoVAgQJ6U1MVXOaj8PK2l7WJ3RER9xtqwdhxkhw/edit?usp=sharing"",""เพชรบุรี!J180"")"),0)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IFERROR(__xludf.DUMMYFUNCTION("IMPORTRANGE(""https://docs.google.com/spreadsheets/d/1SX6NBoVAgQJ6U1MVXOaj8PK2l7WJ3RER9xtqwdhxkhw/edit?usp=sharing"",""เพชรบุรี!I181"")"),0)</f>
        <v>0</v>
      </c>
      <c r="J266" s="189">
        <f ca="1">IFERROR(__xludf.DUMMYFUNCTION("IMPORTRANGE(""https://docs.google.com/spreadsheets/d/1SX6NBoVAgQJ6U1MVXOaj8PK2l7WJ3RER9xtqwdhxkhw/edit?usp=sharing"",""เพชรบุรี!J181"")"),0)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IFERROR(__xludf.DUMMYFUNCTION("IMPORTRANGE(""https://docs.google.com/spreadsheets/d/1SX6NBoVAgQJ6U1MVXOaj8PK2l7WJ3RER9xtqwdhxkhw/edit?usp=sharing"",""เพชรบุรี!I182"")"),0)</f>
        <v>0</v>
      </c>
      <c r="J267" s="189">
        <f ca="1">IFERROR(__xludf.DUMMYFUNCTION("IMPORTRANGE(""https://docs.google.com/spreadsheets/d/1SX6NBoVAgQJ6U1MVXOaj8PK2l7WJ3RER9xtqwdhxkhw/edit?usp=sharing"",""เพชรบุรี!J182"")"),0)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IFERROR(__xludf.DUMMYFUNCTION("IMPORTRANGE(""https://docs.google.com/spreadsheets/d/1SX6NBoVAgQJ6U1MVXOaj8PK2l7WJ3RER9xtqwdhxkhw/edit?usp=sharing"",""เพชรบุรี!J183"")"),0)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IFERROR(__xludf.DUMMYFUNCTION("IMPORTRANGE(""https://docs.google.com/spreadsheets/d/1SX6NBoVAgQJ6U1MVXOaj8PK2l7WJ3RER9xtqwdhxkhw/edit?usp=sharing"",""เพชรบุรี!J184"")"),0)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IFERROR(__xludf.DUMMYFUNCTION("IMPORTRANGE(""https://docs.google.com/spreadsheets/d/1SX6NBoVAgQJ6U1MVXOaj8PK2l7WJ3RER9xtqwdhxkhw/edit?usp=sharing"",""เพชรบุรี!I185"")"),0)</f>
        <v>0</v>
      </c>
      <c r="J270" s="317">
        <f ca="1">IFERROR(__xludf.DUMMYFUNCTION("IMPORTRANGE(""https://docs.google.com/spreadsheets/d/1SX6NBoVAgQJ6U1MVXOaj8PK2l7WJ3RER9xtqwdhxkhw/edit?usp=sharing"",""เพชรบุรี!J185"")"),0)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IFERROR(__xludf.DUMMYFUNCTION("IMPORTRANGE(""https://docs.google.com/spreadsheets/d/1Yj_ptqi66GCucihVvJfMjLAmec39IyEx_6qawtMGysU/edit?usp=sharing"",""สบก!CK71"")"),0)</f>
        <v>0</v>
      </c>
      <c r="N275" s="169">
        <f ca="1">IFERROR(__xludf.DUMMYFUNCTION("IMPORTRANGE(""https://docs.google.com/spreadsheets/d/1Yj_ptqi66GCucihVvJfMjLAmec39IyEx_6qawtMGysU/edit?usp=sharing"",""สบก!CL71"")"),0)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IFERROR(__xludf.DUMMYFUNCTION("IMPORTRANGE(""https://docs.google.com/spreadsheets/d/1Yj_ptqi66GCucihVvJfMjLAmec39IyEx_6qawtMGysU/edit?usp=sharing"",""สบก!CI71"")"),0)</f>
        <v>0</v>
      </c>
      <c r="M279" s="49"/>
      <c r="N279" s="49">
        <f ca="1">IFERROR(__xludf.DUMMYFUNCTION("IMPORTRANGE(""https://docs.google.com/spreadsheets/d/1Yj_ptqi66GCucihVvJfMjLAmec39IyEx_6qawtMGysU/edit?usp=sharing"",""สบก!CM71"")"),0)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IFERROR(__xludf.DUMMYFUNCTION("IMPORTRANGE(""https://docs.google.com/spreadsheets/d/1SX6NBoVAgQJ6U1MVXOaj8PK2l7WJ3RER9xtqwdhxkhw/edit?usp=sharing"",""เพชรบุรี!J191"")"),0)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IFERROR(__xludf.DUMMYFUNCTION("IMPORTRANGE(""https://docs.google.com/spreadsheets/d/1SX6NBoVAgQJ6U1MVXOaj8PK2l7WJ3RER9xtqwdhxkhw/edit?usp=sharing"",""เพชรบุรี!J192"")"),0)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IFERROR(__xludf.DUMMYFUNCTION("IMPORTRANGE(""https://docs.google.com/spreadsheets/d/1SX6NBoVAgQJ6U1MVXOaj8PK2l7WJ3RER9xtqwdhxkhw/edit?usp=sharing"",""เพชรบุรี!J193"")"),0)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IFERROR(__xludf.DUMMYFUNCTION("IMPORTRANGE(""https://docs.google.com/spreadsheets/d/1SX6NBoVAgQJ6U1MVXOaj8PK2l7WJ3RER9xtqwdhxkhw/edit?usp=sharing"",""เพชรบุรี!J194"")"),0)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IFERROR(__xludf.DUMMYFUNCTION("IMPORTRANGE(""https://docs.google.com/spreadsheets/d/1SX6NBoVAgQJ6U1MVXOaj8PK2l7WJ3RER9xtqwdhxkhw/edit?usp=sharing"",""เพชรบุรี!I195"")"),0)</f>
        <v>0</v>
      </c>
      <c r="J285" s="189">
        <f ca="1">IFERROR(__xludf.DUMMYFUNCTION("IMPORTRANGE(""https://docs.google.com/spreadsheets/d/1SX6NBoVAgQJ6U1MVXOaj8PK2l7WJ3RER9xtqwdhxkhw/edit?usp=sharing"",""เพชรบุรี!J195"")"),0)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IFERROR(__xludf.DUMMYFUNCTION("IMPORTRANGE(""https://docs.google.com/spreadsheets/d/1SX6NBoVAgQJ6U1MVXOaj8PK2l7WJ3RER9xtqwdhxkhw/edit?usp=sharing"",""เพชรบุรี!J196"")"),0)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IFERROR(__xludf.DUMMYFUNCTION("IMPORTRANGE(""https://docs.google.com/spreadsheets/d/1SX6NBoVAgQJ6U1MVXOaj8PK2l7WJ3RER9xtqwdhxkhw/edit?usp=sharing"",""เพชรบุรี!J197"")"),0)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IFERROR(__xludf.DUMMYFUNCTION("IMPORTRANGE(""https://docs.google.com/spreadsheets/d/1SX6NBoVAgQJ6U1MVXOaj8PK2l7WJ3RER9xtqwdhxkhw/edit?usp=sharing"",""เพชรบุรี!I199"")"),0)</f>
        <v>0</v>
      </c>
      <c r="J289" s="317">
        <f ca="1">IFERROR(__xludf.DUMMYFUNCTION("IMPORTRANGE(""https://docs.google.com/spreadsheets/d/1SX6NBoVAgQJ6U1MVXOaj8PK2l7WJ3RER9xtqwdhxkhw/edit?usp=sharing"",""เพชรบุรี!J199"")"),0)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IFERROR(__xludf.DUMMYFUNCTION("IMPORTRANGE(""https://docs.google.com/spreadsheets/d/1Yj_ptqi66GCucihVvJfMjLAmec39IyEx_6qawtMGysU/edit?usp=sharing"",""สบก!CT71"")"),0)</f>
        <v>0</v>
      </c>
      <c r="N294" s="169">
        <f ca="1">IFERROR(__xludf.DUMMYFUNCTION("IMPORTRANGE(""https://docs.google.com/spreadsheets/d/1Yj_ptqi66GCucihVvJfMjLAmec39IyEx_6qawtMGysU/edit?usp=sharing"",""สบก!CU71"")"),0)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IFERROR(__xludf.DUMMYFUNCTION("IMPORTRANGE(""https://docs.google.com/spreadsheets/d/1Yj_ptqi66GCucihVvJfMjLAmec39IyEx_6qawtMGysU/edit?usp=sharing"",""สบก!CR71"")"),0)</f>
        <v>0</v>
      </c>
      <c r="M298" s="49"/>
      <c r="N298" s="49">
        <f ca="1">IFERROR(__xludf.DUMMYFUNCTION("IMPORTRANGE(""https://docs.google.com/spreadsheets/d/1Yj_ptqi66GCucihVvJfMjLAmec39IyEx_6qawtMGysU/edit?usp=sharing"",""สบก!CV71"")"),0)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IFERROR(__xludf.DUMMYFUNCTION("IMPORTRANGE(""https://docs.google.com/spreadsheets/d/1SX6NBoVAgQJ6U1MVXOaj8PK2l7WJ3RER9xtqwdhxkhw/edit?usp=sharing"",""เพชรบุรี!J205"")"),0)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IFERROR(__xludf.DUMMYFUNCTION("IMPORTRANGE(""https://docs.google.com/spreadsheets/d/1SX6NBoVAgQJ6U1MVXOaj8PK2l7WJ3RER9xtqwdhxkhw/edit?usp=sharing"",""เพชรบุรี!J206"")"),0)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IFERROR(__xludf.DUMMYFUNCTION("IMPORTRANGE(""https://docs.google.com/spreadsheets/d/1SX6NBoVAgQJ6U1MVXOaj8PK2l7WJ3RER9xtqwdhxkhw/edit?usp=sharing"",""เพชรบุรี!J207"")"),0)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IFERROR(__xludf.DUMMYFUNCTION("IMPORTRANGE(""https://docs.google.com/spreadsheets/d/1SX6NBoVAgQJ6U1MVXOaj8PK2l7WJ3RER9xtqwdhxkhw/edit?usp=sharing"",""เพชรบุรี!J208"")"),0)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IFERROR(__xludf.DUMMYFUNCTION("IMPORTRANGE(""https://docs.google.com/spreadsheets/d/1SX6NBoVAgQJ6U1MVXOaj8PK2l7WJ3RER9xtqwdhxkhw/edit?usp=sharing"",""เพชรบุรี!I209"")"),0)</f>
        <v>0</v>
      </c>
      <c r="J304" s="204">
        <f ca="1">IFERROR(__xludf.DUMMYFUNCTION("IMPORTRANGE(""https://docs.google.com/spreadsheets/d/1SX6NBoVAgQJ6U1MVXOaj8PK2l7WJ3RER9xtqwdhxkhw/edit?usp=sharing"",""เพชรบุรี!J209"")"),0)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IFERROR(__xludf.DUMMYFUNCTION("IMPORTRANGE(""https://docs.google.com/spreadsheets/d/1SX6NBoVAgQJ6U1MVXOaj8PK2l7WJ3RER9xtqwdhxkhw/edit?usp=sharing"",""เพชรบุรี!I211"")"),0)</f>
        <v>0</v>
      </c>
      <c r="J306" s="204">
        <f ca="1">IFERROR(__xludf.DUMMYFUNCTION("IMPORTRANGE(""https://docs.google.com/spreadsheets/d/1SX6NBoVAgQJ6U1MVXOaj8PK2l7WJ3RER9xtqwdhxkhw/edit?usp=sharing"",""เพชรบุรี!J211"")"),0)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IFERROR(__xludf.DUMMYFUNCTION("IMPORTRANGE(""https://docs.google.com/spreadsheets/d/1SX6NBoVAgQJ6U1MVXOaj8PK2l7WJ3RER9xtqwdhxkhw/edit?usp=sharing"",""เพชรบุรี!J212"")"),0)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IFERROR(__xludf.DUMMYFUNCTION("IMPORTRANGE(""https://docs.google.com/spreadsheets/d/1SX6NBoVAgQJ6U1MVXOaj8PK2l7WJ3RER9xtqwdhxkhw/edit?usp=sharing"",""เพชรบุรี!J213"")"),0)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IFERROR(__xludf.DUMMYFUNCTION("IMPORTRANGE(""https://docs.google.com/spreadsheets/d/1SX6NBoVAgQJ6U1MVXOaj8PK2l7WJ3RER9xtqwdhxkhw/edit?usp=sharing"",""เพชรบุรี!I214"")"),0)</f>
        <v>0</v>
      </c>
      <c r="J309" s="334">
        <f ca="1">IFERROR(__xludf.DUMMYFUNCTION("IMPORTRANGE(""https://docs.google.com/spreadsheets/d/1SX6NBoVAgQJ6U1MVXOaj8PK2l7WJ3RER9xtqwdhxkhw/edit?usp=sharing"",""เพชรบุรี!J214"")"),0)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IFERROR(__xludf.DUMMYFUNCTION("IMPORTRANGE(""https://docs.google.com/spreadsheets/d/1Yj_ptqi66GCucihVvJfMjLAmec39IyEx_6qawtMGysU/edit?usp=sharing"",""สบก!DC71"")"),0)</f>
        <v>0</v>
      </c>
      <c r="N314" s="169">
        <f ca="1">IFERROR(__xludf.DUMMYFUNCTION("IMPORTRANGE(""https://docs.google.com/spreadsheets/d/1Yj_ptqi66GCucihVvJfMjLAmec39IyEx_6qawtMGysU/edit?usp=sharing"",""สบก!DD71"")"),0)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IFERROR(__xludf.DUMMYFUNCTION("IMPORTRANGE(""https://docs.google.com/spreadsheets/d/1Yj_ptqi66GCucihVvJfMjLAmec39IyEx_6qawtMGysU/edit?usp=sharing"",""สบก!DA71"")"),0)</f>
        <v>0</v>
      </c>
      <c r="M318" s="49"/>
      <c r="N318" s="49">
        <f ca="1">IFERROR(__xludf.DUMMYFUNCTION("IMPORTRANGE(""https://docs.google.com/spreadsheets/d/1Yj_ptqi66GCucihVvJfMjLAmec39IyEx_6qawtMGysU/edit?usp=sharing"",""สบก!DE71"")"),0)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IFERROR(__xludf.DUMMYFUNCTION("IMPORTRANGE(""https://docs.google.com/spreadsheets/d/1SX6NBoVAgQJ6U1MVXOaj8PK2l7WJ3RER9xtqwdhxkhw/edit?usp=sharing"",""เพชรบุรี!J220"")"),0)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IFERROR(__xludf.DUMMYFUNCTION("IMPORTRANGE(""https://docs.google.com/spreadsheets/d/1SX6NBoVAgQJ6U1MVXOaj8PK2l7WJ3RER9xtqwdhxkhw/edit?usp=sharing"",""เพชรบุรี!J221"")"),0)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IFERROR(__xludf.DUMMYFUNCTION("IMPORTRANGE(""https://docs.google.com/spreadsheets/d/1SX6NBoVAgQJ6U1MVXOaj8PK2l7WJ3RER9xtqwdhxkhw/edit?usp=sharing"",""เพชรบุรี!J222"")"),0)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IFERROR(__xludf.DUMMYFUNCTION("IMPORTRANGE(""https://docs.google.com/spreadsheets/d/1SX6NBoVAgQJ6U1MVXOaj8PK2l7WJ3RER9xtqwdhxkhw/edit?usp=sharing"",""เพชรบุรี!J223"")"),0)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IFERROR(__xludf.DUMMYFUNCTION("IMPORTRANGE(""https://docs.google.com/spreadsheets/d/1SX6NBoVAgQJ6U1MVXOaj8PK2l7WJ3RER9xtqwdhxkhw/edit?usp=sharing"",""เพชรบุรี!I224"")"),0)</f>
        <v>0</v>
      </c>
      <c r="J324" s="204">
        <f ca="1">IFERROR(__xludf.DUMMYFUNCTION("IMPORTRANGE(""https://docs.google.com/spreadsheets/d/1SX6NBoVAgQJ6U1MVXOaj8PK2l7WJ3RER9xtqwdhxkhw/edit?usp=sharing"",""เพชรบุรี!J224"")"),0)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IFERROR(__xludf.DUMMYFUNCTION("IMPORTRANGE(""https://docs.google.com/spreadsheets/d/1SX6NBoVAgQJ6U1MVXOaj8PK2l7WJ3RER9xtqwdhxkhw/edit?usp=sharing"",""เพชรบุรี!J225"")"),0)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IFERROR(__xludf.DUMMYFUNCTION("IMPORTRANGE(""https://docs.google.com/spreadsheets/d/1SX6NBoVAgQJ6U1MVXOaj8PK2l7WJ3RER9xtqwdhxkhw/edit?usp=sharing"",""เพชรบุรี!J226"")"),0)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IFERROR(__xludf.DUMMYFUNCTION("IMPORTRANGE(""https://docs.google.com/spreadsheets/d/1SX6NBoVAgQJ6U1MVXOaj8PK2l7WJ3RER9xtqwdhxkhw/edit?usp=sharing"",""เพชรบุรี!I228"")"),33)</f>
        <v>33</v>
      </c>
      <c r="J328" s="340">
        <f ca="1">IFERROR(__xludf.DUMMYFUNCTION("IMPORTRANGE(""https://docs.google.com/spreadsheets/d/1SX6NBoVAgQJ6U1MVXOaj8PK2l7WJ3RER9xtqwdhxkhw/edit?usp=sharing"",""เพชรบุรี!J228"")"),11)</f>
        <v>11</v>
      </c>
      <c r="K328" s="318">
        <f ca="1">IF(I328&gt;0,J328*100/I328,0)</f>
        <v>33.333333333333336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701880</v>
      </c>
      <c r="M329" s="152">
        <f t="shared" ca="1" si="98"/>
        <v>774200</v>
      </c>
      <c r="N329" s="152">
        <f t="shared" ca="1" si="98"/>
        <v>669878.80000000005</v>
      </c>
      <c r="O329" s="151">
        <f t="shared" ref="O329:O331" ca="1" si="99">IF(L329&gt;0,N329*100/L329,0)</f>
        <v>95.440645124522717</v>
      </c>
      <c r="P329" s="151">
        <f t="shared" ref="P329:P331" ca="1" si="100">IF(M329&gt;0,N329*100/M329,0)</f>
        <v>86.525290622578154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701880</v>
      </c>
      <c r="M331" s="157">
        <f t="shared" ca="1" si="102"/>
        <v>774200</v>
      </c>
      <c r="N331" s="157">
        <f t="shared" ca="1" si="102"/>
        <v>669878.80000000005</v>
      </c>
      <c r="O331" s="156">
        <f t="shared" ca="1" si="99"/>
        <v>95.440645124522717</v>
      </c>
      <c r="P331" s="156">
        <f t="shared" ca="1" si="100"/>
        <v>86.525290622578154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701880</v>
      </c>
      <c r="M333" s="168">
        <f ca="1">IFERROR(__xludf.DUMMYFUNCTION("IMPORTRANGE(""https://docs.google.com/spreadsheets/d/1Yj_ptqi66GCucihVvJfMjLAmec39IyEx_6qawtMGysU/edit?usp=sharing"",""สบก!DL71"")"),774200)</f>
        <v>774200</v>
      </c>
      <c r="N333" s="169">
        <f ca="1">IFERROR(__xludf.DUMMYFUNCTION("IMPORTRANGE(""https://docs.google.com/spreadsheets/d/1Yj_ptqi66GCucihVvJfMjLAmec39IyEx_6qawtMGysU/edit?usp=sharing"",""สบก!DM71"")"),669878.8)</f>
        <v>669878.80000000005</v>
      </c>
      <c r="O333" s="169">
        <f ca="1">IF(L333&gt;0,N333*100/L333,0)</f>
        <v>95.440645124522717</v>
      </c>
      <c r="P333" s="169">
        <f ca="1">IF(M333&gt;0,N333*100/M333,0)</f>
        <v>86.525290622578154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IFERROR(__xludf.DUMMYFUNCTION("IMPORTRANGE(""https://docs.google.com/spreadsheets/d/1Yj_ptqi66GCucihVvJfMjLAmec39IyEx_6qawtMGysU/edit?usp=sharing"",""สบก!DH71"")"),493800)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IFERROR(__xludf.DUMMYFUNCTION("IMPORTRANGE(""https://docs.google.com/spreadsheets/d/1Yj_ptqi66GCucihVvJfMjLAmec39IyEx_6qawtMGysU/edit?usp=sharing"",""สบก!DI71"")"),208080)</f>
        <v>208080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IFERROR(__xludf.DUMMYFUNCTION("IMPORTRANGE(""https://docs.google.com/spreadsheets/d/1Yj_ptqi66GCucihVvJfMjLAmec39IyEx_6qawtMGysU/edit?usp=sharing"",""สบก!DJ71"")"),0)</f>
        <v>0</v>
      </c>
      <c r="M337" s="49"/>
      <c r="N337" s="49">
        <f ca="1">IFERROR(__xludf.DUMMYFUNCTION("IMPORTRANGE(""https://docs.google.com/spreadsheets/d/1Yj_ptqi66GCucihVvJfMjLAmec39IyEx_6qawtMGysU/edit?usp=sharing"",""สบก!DN71"")"),0)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IFERROR(__xludf.DUMMYFUNCTION("IMPORTRANGE(""https://docs.google.com/spreadsheets/d/1SX6NBoVAgQJ6U1MVXOaj8PK2l7WJ3RER9xtqwdhxkhw/edit?usp=sharing"",""เพชรบุรี!I234"")"),0)</f>
        <v>0</v>
      </c>
      <c r="J339" s="188">
        <f ca="1">IFERROR(__xludf.DUMMYFUNCTION("IMPORTRANGE(""https://docs.google.com/spreadsheets/d/1SX6NBoVAgQJ6U1MVXOaj8PK2l7WJ3RER9xtqwdhxkhw/edit?usp=sharing"",""เพชรบุรี!J234"")"),0)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IFERROR(__xludf.DUMMYFUNCTION("IMPORTRANGE(""https://docs.google.com/spreadsheets/d/1SX6NBoVAgQJ6U1MVXOaj8PK2l7WJ3RER9xtqwdhxkhw/edit?usp=sharing"",""เพชรบุรี!I235"")"),180)</f>
        <v>180</v>
      </c>
      <c r="J340" s="188">
        <f ca="1">IFERROR(__xludf.DUMMYFUNCTION("IMPORTRANGE(""https://docs.google.com/spreadsheets/d/1SX6NBoVAgQJ6U1MVXOaj8PK2l7WJ3RER9xtqwdhxkhw/edit?usp=sharing"",""เพชรบุรี!J235"")"),0)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IFERROR(__xludf.DUMMYFUNCTION("IMPORTRANGE(""https://docs.google.com/spreadsheets/d/1SX6NBoVAgQJ6U1MVXOaj8PK2l7WJ3RER9xtqwdhxkhw/edit?usp=sharing"",""เพชรบุรี!I236"")"),33)</f>
        <v>33</v>
      </c>
      <c r="J341" s="188">
        <f ca="1">IFERROR(__xludf.DUMMYFUNCTION("IMPORTRANGE(""https://docs.google.com/spreadsheets/d/1SX6NBoVAgQJ6U1MVXOaj8PK2l7WJ3RER9xtqwdhxkhw/edit?usp=sharing"",""เพชรบุรี!J236"")"),12)</f>
        <v>12</v>
      </c>
      <c r="K341" s="343">
        <f t="shared" ca="1" si="103"/>
        <v>36.363636363636367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IFERROR(__xludf.DUMMYFUNCTION("IMPORTRANGE(""https://docs.google.com/spreadsheets/d/1SX6NBoVAgQJ6U1MVXOaj8PK2l7WJ3RER9xtqwdhxkhw/edit?usp=sharing"",""เพชรบุรี!I237"")"),0)</f>
        <v>0</v>
      </c>
      <c r="J342" s="188">
        <f ca="1">IFERROR(__xludf.DUMMYFUNCTION("IMPORTRANGE(""https://docs.google.com/spreadsheets/d/1SX6NBoVAgQJ6U1MVXOaj8PK2l7WJ3RER9xtqwdhxkhw/edit?usp=sharing"",""เพชรบุรี!J237"")"),123.04)</f>
        <v>123.04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IFERROR(__xludf.DUMMYFUNCTION("IMPORTRANGE(""https://docs.google.com/spreadsheets/d/1SX6NBoVAgQJ6U1MVXOaj8PK2l7WJ3RER9xtqwdhxkhw/edit?usp=sharing"",""เพชรบุรี!I238"")"),33)</f>
        <v>33</v>
      </c>
      <c r="J343" s="188">
        <f ca="1">IFERROR(__xludf.DUMMYFUNCTION("IMPORTRANGE(""https://docs.google.com/spreadsheets/d/1SX6NBoVAgQJ6U1MVXOaj8PK2l7WJ3RER9xtqwdhxkhw/edit?usp=sharing"",""เพชรบุรี!J238"")"),0)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IFERROR(__xludf.DUMMYFUNCTION("IMPORTRANGE(""https://docs.google.com/spreadsheets/d/1SX6NBoVAgQJ6U1MVXOaj8PK2l7WJ3RER9xtqwdhxkhw/edit?usp=sharing"",""เพชรบุรี!I239"")"),0)</f>
        <v>0</v>
      </c>
      <c r="J344" s="188">
        <f ca="1">IFERROR(__xludf.DUMMYFUNCTION("IMPORTRANGE(""https://docs.google.com/spreadsheets/d/1SX6NBoVAgQJ6U1MVXOaj8PK2l7WJ3RER9xtqwdhxkhw/edit?usp=sharing"",""เพชรบุรี!J239"")"),0)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IFERROR(__xludf.DUMMYFUNCTION("IMPORTRANGE(""https://docs.google.com/spreadsheets/d/1SX6NBoVAgQJ6U1MVXOaj8PK2l7WJ3RER9xtqwdhxkhw/edit?usp=sharing"",""เพชรบุรี!I240"")"),33)</f>
        <v>33</v>
      </c>
      <c r="J345" s="188">
        <f ca="1">IFERROR(__xludf.DUMMYFUNCTION("IMPORTRANGE(""https://docs.google.com/spreadsheets/d/1SX6NBoVAgQJ6U1MVXOaj8PK2l7WJ3RER9xtqwdhxkhw/edit?usp=sharing"",""เพชรบุรี!J240"")"),11)</f>
        <v>11</v>
      </c>
      <c r="K345" s="343">
        <f t="shared" ca="1" si="103"/>
        <v>33.333333333333336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IFERROR(__xludf.DUMMYFUNCTION("IMPORTRANGE(""https://docs.google.com/spreadsheets/d/1SX6NBoVAgQJ6U1MVXOaj8PK2l7WJ3RER9xtqwdhxkhw/edit?usp=sharing"",""เพชรบุรี!I241"")"),0)</f>
        <v>0</v>
      </c>
      <c r="J346" s="188">
        <f ca="1">IFERROR(__xludf.DUMMYFUNCTION("IMPORTRANGE(""https://docs.google.com/spreadsheets/d/1SX6NBoVAgQJ6U1MVXOaj8PK2l7WJ3RER9xtqwdhxkhw/edit?usp=sharing"",""เพชรบุรี!J241"")"),104.49)</f>
        <v>104.49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IFERROR(__xludf.DUMMYFUNCTION("IMPORTRANGE(""https://docs.google.com/spreadsheets/d/1SX6NBoVAgQJ6U1MVXOaj8PK2l7WJ3RER9xtqwdhxkhw/edit?usp=sharing"",""เพชรบุรี!L242"")"),850497)</f>
        <v>850497</v>
      </c>
      <c r="M347" s="358"/>
      <c r="N347" s="358">
        <f ca="1">IFERROR(__xludf.DUMMYFUNCTION("IMPORTRANGE(""https://docs.google.com/spreadsheets/d/1SX6NBoVAgQJ6U1MVXOaj8PK2l7WJ3RER9xtqwdhxkhw/edit?usp=sharing"",""เพชรบุรี!M242"")"),640854)</f>
        <v>640854</v>
      </c>
      <c r="O347" s="358">
        <f ca="1">+IF(L347&gt;0,N347*100/L347,0)</f>
        <v>75.35053033696768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IFERROR(__xludf.DUMMYFUNCTION("IMPORTRANGE(""https://docs.google.com/spreadsheets/d/1SX6NBoVAgQJ6U1MVXOaj8PK2l7WJ3RER9xtqwdhxkhw/edit?usp=sharing"",""เพชรบุรี!I244"")"),0)</f>
        <v>0</v>
      </c>
      <c r="J349" s="371">
        <f ca="1">IFERROR(__xludf.DUMMYFUNCTION("IMPORTRANGE(""https://docs.google.com/spreadsheets/d/1SX6NBoVAgQJ6U1MVXOaj8PK2l7WJ3RER9xtqwdhxkhw/edit?usp=sharing"",""เพชรบุรี!J244"")"),0)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IFERROR(__xludf.DUMMYFUNCTION("IMPORTRANGE(""https://docs.google.com/spreadsheets/d/1SX6NBoVAgQJ6U1MVXOaj8PK2l7WJ3RER9xtqwdhxkhw/edit?usp=sharing"",""เพชรบุรี!L244"")"),0)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IFERROR(__xludf.DUMMYFUNCTION("IMPORTRANGE(""https://docs.google.com/spreadsheets/d/1SX6NBoVAgQJ6U1MVXOaj8PK2l7WJ3RER9xtqwdhxkhw/edit?usp=sharing"",""เพชรบุรี!M244"")"),0)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IFERROR(__xludf.DUMMYFUNCTION("IMPORTRANGE(""https://docs.google.com/spreadsheets/d/1SX6NBoVAgQJ6U1MVXOaj8PK2l7WJ3RER9xtqwdhxkhw/edit?usp=sharing"",""เพชรบุรี!I245"")"),0)</f>
        <v>0</v>
      </c>
      <c r="J350" s="371">
        <f ca="1">IFERROR(__xludf.DUMMYFUNCTION("IMPORTRANGE(""https://docs.google.com/spreadsheets/d/1SX6NBoVAgQJ6U1MVXOaj8PK2l7WJ3RER9xtqwdhxkhw/edit?usp=sharing"",""เพชรบุรี!J245"")"),0)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IFERROR(__xludf.DUMMYFUNCTION("IMPORTRANGE(""https://docs.google.com/spreadsheets/d/1SX6NBoVAgQJ6U1MVXOaj8PK2l7WJ3RER9xtqwdhxkhw/edit?usp=sharing"",""เพชรบุรี!L246"")"),0)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IFERROR(__xludf.DUMMYFUNCTION("IMPORTRANGE(""https://docs.google.com/spreadsheets/d/1SX6NBoVAgQJ6U1MVXOaj8PK2l7WJ3RER9xtqwdhxkhw/edit?usp=sharing"",""เพชรบุรี!M246"")"),0)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IFERROR(__xludf.DUMMYFUNCTION("IMPORTRANGE(""https://docs.google.com/spreadsheets/d/1SX6NBoVAgQJ6U1MVXOaj8PK2l7WJ3RER9xtqwdhxkhw/edit?usp=sharing"",""เพชรบุรี!L247"")"),0)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IFERROR(__xludf.DUMMYFUNCTION("IMPORTRANGE(""https://docs.google.com/spreadsheets/d/1SX6NBoVAgQJ6U1MVXOaj8PK2l7WJ3RER9xtqwdhxkhw/edit?usp=sharing"",""เพชรบุรี!M247"")"),0)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IFERROR(__xludf.DUMMYFUNCTION("IMPORTRANGE(""https://docs.google.com/spreadsheets/d/1SX6NBoVAgQJ6U1MVXOaj8PK2l7WJ3RER9xtqwdhxkhw/edit?usp=sharing"",""เพชรบุรี!L248"")"),0)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IFERROR(__xludf.DUMMYFUNCTION("IMPORTRANGE(""https://docs.google.com/spreadsheets/d/1SX6NBoVAgQJ6U1MVXOaj8PK2l7WJ3RER9xtqwdhxkhw/edit?usp=sharing"",""เพชรบุรี!M248"")"),0)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IFERROR(__xludf.DUMMYFUNCTION("IMPORTRANGE(""https://docs.google.com/spreadsheets/d/1SX6NBoVAgQJ6U1MVXOaj8PK2l7WJ3RER9xtqwdhxkhw/edit?usp=sharing"",""เพชรบุรี!L249"")"),0)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IFERROR(__xludf.DUMMYFUNCTION("IMPORTRANGE(""https://docs.google.com/spreadsheets/d/1SX6NBoVAgQJ6U1MVXOaj8PK2l7WJ3RER9xtqwdhxkhw/edit?usp=sharing"",""เพชรบุรี!M249"")"),0)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IFERROR(__xludf.DUMMYFUNCTION("IMPORTRANGE(""https://docs.google.com/spreadsheets/d/1SX6NBoVAgQJ6U1MVXOaj8PK2l7WJ3RER9xtqwdhxkhw/edit?usp=sharing"",""เพชรบุรี!M250"")"),0)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IFERROR(__xludf.DUMMYFUNCTION("IMPORTRANGE(""https://docs.google.com/spreadsheets/d/1SX6NBoVAgQJ6U1MVXOaj8PK2l7WJ3RER9xtqwdhxkhw/edit?usp=sharing"",""เพชรบุรี!M251"")"),0)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IFERROR(__xludf.DUMMYFUNCTION("IMPORTRANGE(""https://docs.google.com/spreadsheets/d/1SX6NBoVAgQJ6U1MVXOaj8PK2l7WJ3RER9xtqwdhxkhw/edit?usp=sharing"",""เพชรบุรี!M252"")"),0)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IFERROR(__xludf.DUMMYFUNCTION("IMPORTRANGE(""https://docs.google.com/spreadsheets/d/1SX6NBoVAgQJ6U1MVXOaj8PK2l7WJ3RER9xtqwdhxkhw/edit?usp=sharing"",""เพชรบุรี!M253"")"),0)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IFERROR(__xludf.DUMMYFUNCTION("IMPORTRANGE(""https://docs.google.com/spreadsheets/d/1SX6NBoVAgQJ6U1MVXOaj8PK2l7WJ3RER9xtqwdhxkhw/edit?usp=sharing"",""เพชรบุรี!J255"")"),0)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IFERROR(__xludf.DUMMYFUNCTION("IMPORTRANGE(""https://docs.google.com/spreadsheets/d/1SX6NBoVAgQJ6U1MVXOaj8PK2l7WJ3RER9xtqwdhxkhw/edit?usp=sharing"",""เพชรบุรี!J256"")"),0)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IFERROR(__xludf.DUMMYFUNCTION("IMPORTRANGE(""https://docs.google.com/spreadsheets/d/1SX6NBoVAgQJ6U1MVXOaj8PK2l7WJ3RER9xtqwdhxkhw/edit?usp=sharing"",""เพชรบุรี!J257"")"),0)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IFERROR(__xludf.DUMMYFUNCTION("IMPORTRANGE(""https://docs.google.com/spreadsheets/d/1SX6NBoVAgQJ6U1MVXOaj8PK2l7WJ3RER9xtqwdhxkhw/edit?usp=sharing"",""เพชรบุรี!J258"")"),0)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IFERROR(__xludf.DUMMYFUNCTION("IMPORTRANGE(""https://docs.google.com/spreadsheets/d/1SX6NBoVAgQJ6U1MVXOaj8PK2l7WJ3RER9xtqwdhxkhw/edit?usp=sharing"",""เพชรบุรี!J166"")"),0)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IFERROR(__xludf.DUMMYFUNCTION("IMPORTRANGE(""https://docs.google.com/spreadsheets/d/1SX6NBoVAgQJ6U1MVXOaj8PK2l7WJ3RER9xtqwdhxkhw/edit?usp=sharing"",""เพชรบุรี!J166"")"),0)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IFERROR(__xludf.DUMMYFUNCTION("IMPORTRANGE(""https://docs.google.com/spreadsheets/d/1SX6NBoVAgQJ6U1MVXOaj8PK2l7WJ3RER9xtqwdhxkhw/edit?usp=sharing"",""เพชรบุรี!J166"")"),0)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IFERROR(__xludf.DUMMYFUNCTION("IMPORTRANGE(""https://docs.google.com/spreadsheets/d/1SX6NBoVAgQJ6U1MVXOaj8PK2l7WJ3RER9xtqwdhxkhw/edit?usp=sharing"",""เพชรบุรี!J166"")"),0)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IFERROR(__xludf.DUMMYFUNCTION("IMPORTRANGE(""https://docs.google.com/spreadsheets/d/1SX6NBoVAgQJ6U1MVXOaj8PK2l7WJ3RER9xtqwdhxkhw/edit?usp=sharing"",""เพชรบุรี!I263"")"),0)</f>
        <v>0</v>
      </c>
      <c r="J368" s="188">
        <f ca="1">IFERROR(__xludf.DUMMYFUNCTION("IMPORTRANGE(""https://docs.google.com/spreadsheets/d/1SX6NBoVAgQJ6U1MVXOaj8PK2l7WJ3RER9xtqwdhxkhw/edit?usp=sharing"",""เพชรบุรี!J263"")"),0)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IFERROR(__xludf.DUMMYFUNCTION("IMPORTRANGE(""https://docs.google.com/spreadsheets/d/1SX6NBoVAgQJ6U1MVXOaj8PK2l7WJ3RER9xtqwdhxkhw/edit?usp=sharing"",""เพชรบุรี!I164"")"),0)</f>
        <v>0</v>
      </c>
      <c r="J369" s="204">
        <f ca="1">IFERROR(__xludf.DUMMYFUNCTION("IMPORTRANGE(""https://docs.google.com/spreadsheets/d/1SX6NBoVAgQJ6U1MVXOaj8PK2l7WJ3RER9xtqwdhxkhw/edit?usp=sharing"",""เพชรบุรี!J164"")"),0)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IFERROR(__xludf.DUMMYFUNCTION("IMPORTRANGE(""https://docs.google.com/spreadsheets/d/1SX6NBoVAgQJ6U1MVXOaj8PK2l7WJ3RER9xtqwdhxkhw/edit?usp=sharing"",""เพชรบุรี!I265"")"),0)</f>
        <v>0</v>
      </c>
      <c r="J370" s="204">
        <f ca="1">IFERROR(__xludf.DUMMYFUNCTION("IMPORTRANGE(""https://docs.google.com/spreadsheets/d/1SX6NBoVAgQJ6U1MVXOaj8PK2l7WJ3RER9xtqwdhxkhw/edit?usp=sharing"",""เพชรบุรี!J265"")"),0)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IFERROR(__xludf.DUMMYFUNCTION("IMPORTRANGE(""https://docs.google.com/spreadsheets/d/1SX6NBoVAgQJ6U1MVXOaj8PK2l7WJ3RER9xtqwdhxkhw/edit?usp=sharing"",""เพชรบุรี!I164"")"),0)</f>
        <v>0</v>
      </c>
      <c r="J371" s="189">
        <f ca="1">IFERROR(__xludf.DUMMYFUNCTION("IMPORTRANGE(""https://docs.google.com/spreadsheets/d/1SX6NBoVAgQJ6U1MVXOaj8PK2l7WJ3RER9xtqwdhxkhw/edit?usp=sharing"",""เพชรบุรี!J164"")"),0)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IFERROR(__xludf.DUMMYFUNCTION("IMPORTRANGE(""https://docs.google.com/spreadsheets/d/1SX6NBoVAgQJ6U1MVXOaj8PK2l7WJ3RER9xtqwdhxkhw/edit?usp=sharing"",""เพชรบุรี!I267"")"),0)</f>
        <v>0</v>
      </c>
      <c r="J372" s="189">
        <f ca="1">IFERROR(__xludf.DUMMYFUNCTION("IMPORTRANGE(""https://docs.google.com/spreadsheets/d/1SX6NBoVAgQJ6U1MVXOaj8PK2l7WJ3RER9xtqwdhxkhw/edit?usp=sharing"",""เพชรบุรี!J267"")"),0)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IFERROR(__xludf.DUMMYFUNCTION("IMPORTRANGE(""https://docs.google.com/spreadsheets/d/1SX6NBoVAgQJ6U1MVXOaj8PK2l7WJ3RER9xtqwdhxkhw/edit?usp=sharing"",""เพชรบุรี!I164"")"),0)</f>
        <v>0</v>
      </c>
      <c r="J373" s="204">
        <f ca="1">IFERROR(__xludf.DUMMYFUNCTION("IMPORTRANGE(""https://docs.google.com/spreadsheets/d/1SX6NBoVAgQJ6U1MVXOaj8PK2l7WJ3RER9xtqwdhxkhw/edit?usp=sharing"",""เพชรบุรี!J164"")"),0)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IFERROR(__xludf.DUMMYFUNCTION("IMPORTRANGE(""https://docs.google.com/spreadsheets/d/1SX6NBoVAgQJ6U1MVXOaj8PK2l7WJ3RER9xtqwdhxkhw/edit?usp=sharing"",""เพชรบุรี!I164"")"),0)</f>
        <v>0</v>
      </c>
      <c r="J374" s="188">
        <f ca="1">IFERROR(__xludf.DUMMYFUNCTION("IMPORTRANGE(""https://docs.google.com/spreadsheets/d/1SX6NBoVAgQJ6U1MVXOaj8PK2l7WJ3RER9xtqwdhxkhw/edit?usp=sharing"",""เพชรบุรี!J164"")"),0)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IFERROR(__xludf.DUMMYFUNCTION("IMPORTRANGE(""https://docs.google.com/spreadsheets/d/1SX6NBoVAgQJ6U1MVXOaj8PK2l7WJ3RER9xtqwdhxkhw/edit?usp=sharing"",""เพชรบุรี!I270"")"),0)</f>
        <v>0</v>
      </c>
      <c r="J375" s="188">
        <f ca="1">IFERROR(__xludf.DUMMYFUNCTION("IMPORTRANGE(""https://docs.google.com/spreadsheets/d/1SX6NBoVAgQJ6U1MVXOaj8PK2l7WJ3RER9xtqwdhxkhw/edit?usp=sharing"",""เพชรบุรี!J270"")"),0)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IFERROR(__xludf.DUMMYFUNCTION("IMPORTRANGE(""https://docs.google.com/spreadsheets/d/1SX6NBoVAgQJ6U1MVXOaj8PK2l7WJ3RER9xtqwdhxkhw/edit?usp=sharing"",""เพชรบุรี!I271"")"),0)</f>
        <v>0</v>
      </c>
      <c r="J376" s="189">
        <f ca="1">IFERROR(__xludf.DUMMYFUNCTION("IMPORTRANGE(""https://docs.google.com/spreadsheets/d/1SX6NBoVAgQJ6U1MVXOaj8PK2l7WJ3RER9xtqwdhxkhw/edit?usp=sharing"",""เพชรบุรี!J271"")"),0)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IFERROR(__xludf.DUMMYFUNCTION("IMPORTRANGE(""https://docs.google.com/spreadsheets/d/1SX6NBoVAgQJ6U1MVXOaj8PK2l7WJ3RER9xtqwdhxkhw/edit?usp=sharing"",""เพชรบุรี!I272"")"),0)</f>
        <v>0</v>
      </c>
      <c r="J377" s="204">
        <f ca="1">IFERROR(__xludf.DUMMYFUNCTION("IMPORTRANGE(""https://docs.google.com/spreadsheets/d/1SX6NBoVAgQJ6U1MVXOaj8PK2l7WJ3RER9xtqwdhxkhw/edit?usp=sharing"",""เพชรบุรี!J272"")"),0)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IFERROR(__xludf.DUMMYFUNCTION("IMPORTRANGE(""https://docs.google.com/spreadsheets/d/1SX6NBoVAgQJ6U1MVXOaj8PK2l7WJ3RER9xtqwdhxkhw/edit?usp=sharing"",""เพชรบุรี!J273"")"),0)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IFERROR(__xludf.DUMMYFUNCTION("IMPORTRANGE(""https://docs.google.com/spreadsheets/d/1SX6NBoVAgQJ6U1MVXOaj8PK2l7WJ3RER9xtqwdhxkhw/edit?usp=sharing"",""เพชรบุรี!J274"")"),0)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IFERROR(__xludf.DUMMYFUNCTION("IMPORTRANGE(""https://docs.google.com/spreadsheets/d/1SX6NBoVAgQJ6U1MVXOaj8PK2l7WJ3RER9xtqwdhxkhw/edit?usp=sharing"",""เพชรบุรี!I275"")"),200)</f>
        <v>200</v>
      </c>
      <c r="J380" s="371">
        <f ca="1">IFERROR(__xludf.DUMMYFUNCTION("IMPORTRANGE(""https://docs.google.com/spreadsheets/d/1SX6NBoVAgQJ6U1MVXOaj8PK2l7WJ3RER9xtqwdhxkhw/edit?usp=sharing"",""เพชรบุรี!J275"")"),200)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IFERROR(__xludf.DUMMYFUNCTION("IMPORTRANGE(""https://docs.google.com/spreadsheets/d/1SX6NBoVAgQJ6U1MVXOaj8PK2l7WJ3RER9xtqwdhxkhw/edit?usp=sharing"",""เพชรบุรี!L275"")"),207560)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IFERROR(__xludf.DUMMYFUNCTION("IMPORTRANGE(""https://docs.google.com/spreadsheets/d/1SX6NBoVAgQJ6U1MVXOaj8PK2l7WJ3RER9xtqwdhxkhw/edit?usp=sharing"",""เพชรบุรี!M275"")"),199670)</f>
        <v>199670</v>
      </c>
      <c r="O380" s="373">
        <f ca="1">+IF(L380&gt;0,N380*100/L380,0)</f>
        <v>96.198689535555985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IFERROR(__xludf.DUMMYFUNCTION("IMPORTRANGE(""https://docs.google.com/spreadsheets/d/1SX6NBoVAgQJ6U1MVXOaj8PK2l7WJ3RER9xtqwdhxkhw/edit?usp=sharing"",""เพชรบุรี!I276"")"),20)</f>
        <v>20</v>
      </c>
      <c r="J381" s="371">
        <f ca="1">IFERROR(__xludf.DUMMYFUNCTION("IMPORTRANGE(""https://docs.google.com/spreadsheets/d/1SX6NBoVAgQJ6U1MVXOaj8PK2l7WJ3RER9xtqwdhxkhw/edit?usp=sharing"",""เพชรบุรี!J276"")"),20)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IFERROR(__xludf.DUMMYFUNCTION("IMPORTRANGE(""https://docs.google.com/spreadsheets/d/1SX6NBoVAgQJ6U1MVXOaj8PK2l7WJ3RER9xtqwdhxkhw/edit?usp=sharing"",""เพชรบุรี!L277"")"),0)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IFERROR(__xludf.DUMMYFUNCTION("IMPORTRANGE(""https://docs.google.com/spreadsheets/d/1SX6NBoVAgQJ6U1MVXOaj8PK2l7WJ3RER9xtqwdhxkhw/edit?usp=sharing"",""เพชรบุรี!M277"")"),0)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IFERROR(__xludf.DUMMYFUNCTION("IMPORTRANGE(""https://docs.google.com/spreadsheets/d/1SX6NBoVAgQJ6U1MVXOaj8PK2l7WJ3RER9xtqwdhxkhw/edit?usp=sharing"",""เพชรบุรี!L278"")"),207560)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IFERROR(__xludf.DUMMYFUNCTION("IMPORTRANGE(""https://docs.google.com/spreadsheets/d/1SX6NBoVAgQJ6U1MVXOaj8PK2l7WJ3RER9xtqwdhxkhw/edit?usp=sharing"",""เพชรบุรี!M278"")"),199670)</f>
        <v>199670</v>
      </c>
      <c r="O383" s="165">
        <f t="shared" ca="1" si="109"/>
        <v>96.198689535555985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IFERROR(__xludf.DUMMYFUNCTION("IMPORTRANGE(""https://docs.google.com/spreadsheets/d/1SX6NBoVAgQJ6U1MVXOaj8PK2l7WJ3RER9xtqwdhxkhw/edit?usp=sharing"",""เพชรบุรี!L279"")"),0)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IFERROR(__xludf.DUMMYFUNCTION("IMPORTRANGE(""https://docs.google.com/spreadsheets/d/1SX6NBoVAgQJ6U1MVXOaj8PK2l7WJ3RER9xtqwdhxkhw/edit?usp=sharing"",""เพชรบุรี!M279"")"),0)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IFERROR(__xludf.DUMMYFUNCTION("IMPORTRANGE(""https://docs.google.com/spreadsheets/d/1SX6NBoVAgQJ6U1MVXOaj8PK2l7WJ3RER9xtqwdhxkhw/edit?usp=sharing"",""เพชรบุรี!L280"")"),207560)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IFERROR(__xludf.DUMMYFUNCTION("IMPORTRANGE(""https://docs.google.com/spreadsheets/d/1SX6NBoVAgQJ6U1MVXOaj8PK2l7WJ3RER9xtqwdhxkhw/edit?usp=sharing"",""เพชรบุรี!M280"")"),199670)</f>
        <v>199670</v>
      </c>
      <c r="O385" s="169">
        <f t="shared" ca="1" si="109"/>
        <v>96.198689535555985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IFERROR(__xludf.DUMMYFUNCTION("IMPORTRANGE(""https://docs.google.com/spreadsheets/d/1SX6NBoVAgQJ6U1MVXOaj8PK2l7WJ3RER9xtqwdhxkhw/edit?usp=sharing"",""เพชรบุรี!M281"")"),58800)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IFERROR(__xludf.DUMMYFUNCTION("IMPORTRANGE(""https://docs.google.com/spreadsheets/d/1SX6NBoVAgQJ6U1MVXOaj8PK2l7WJ3RER9xtqwdhxkhw/edit?usp=sharing"",""เพชรบุรี!M282"")"),123670)</f>
        <v>123670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IFERROR(__xludf.DUMMYFUNCTION("IMPORTRANGE(""https://docs.google.com/spreadsheets/d/1SX6NBoVAgQJ6U1MVXOaj8PK2l7WJ3RER9xtqwdhxkhw/edit?usp=sharing"",""เพชรบุรี!M283"")"),0)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IFERROR(__xludf.DUMMYFUNCTION("IMPORTRANGE(""https://docs.google.com/spreadsheets/d/1SX6NBoVAgQJ6U1MVXOaj8PK2l7WJ3RER9xtqwdhxkhw/edit?usp=sharing"",""เพชรบุรี!M284"")"),17200)</f>
        <v>17200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IFERROR(__xludf.DUMMYFUNCTION("IMPORTRANGE(""https://docs.google.com/spreadsheets/d/1SX6NBoVAgQJ6U1MVXOaj8PK2l7WJ3RER9xtqwdhxkhw/edit?usp=sharing"",""เพชรบุรี!J286"")"),0)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IFERROR(__xludf.DUMMYFUNCTION("IMPORTRANGE(""https://docs.google.com/spreadsheets/d/1SX6NBoVAgQJ6U1MVXOaj8PK2l7WJ3RER9xtqwdhxkhw/edit?usp=sharing"",""เพชรบุรี!J287"")"),1)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IFERROR(__xludf.DUMMYFUNCTION("IMPORTRANGE(""https://docs.google.com/spreadsheets/d/1SX6NBoVAgQJ6U1MVXOaj8PK2l7WJ3RER9xtqwdhxkhw/edit?usp=sharing"",""เพชรบุรี!J288"")"),1)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IFERROR(__xludf.DUMMYFUNCTION("IMPORTRANGE(""https://docs.google.com/spreadsheets/d/1SX6NBoVAgQJ6U1MVXOaj8PK2l7WJ3RER9xtqwdhxkhw/edit?usp=sharing"",""เพชรบุรี!J289"")"),1)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IFERROR(__xludf.DUMMYFUNCTION("IMPORTRANGE(""https://docs.google.com/spreadsheets/d/1SX6NBoVAgQJ6U1MVXOaj8PK2l7WJ3RER9xtqwdhxkhw/edit?usp=sharing"",""เพชรบุรี!I291"")"),20)</f>
        <v>20</v>
      </c>
      <c r="J396" s="198">
        <f ca="1">IFERROR(__xludf.DUMMYFUNCTION("IMPORTRANGE(""https://docs.google.com/spreadsheets/d/1SX6NBoVAgQJ6U1MVXOaj8PK2l7WJ3RER9xtqwdhxkhw/edit?usp=sharing"",""เพชรบุรี!J291"")"),20)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IFERROR(__xludf.DUMMYFUNCTION("IMPORTRANGE(""https://docs.google.com/spreadsheets/d/1SX6NBoVAgQJ6U1MVXOaj8PK2l7WJ3RER9xtqwdhxkhw/edit?usp=sharing"",""เพชรบุรี!I292"")"),200)</f>
        <v>200</v>
      </c>
      <c r="J397" s="198">
        <f ca="1">IFERROR(__xludf.DUMMYFUNCTION("IMPORTRANGE(""https://docs.google.com/spreadsheets/d/1SX6NBoVAgQJ6U1MVXOaj8PK2l7WJ3RER9xtqwdhxkhw/edit?usp=sharing"",""เพชรบุรี!J292"")"),200)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IFERROR(__xludf.DUMMYFUNCTION("IMPORTRANGE(""https://docs.google.com/spreadsheets/d/1SX6NBoVAgQJ6U1MVXOaj8PK2l7WJ3RER9xtqwdhxkhw/edit?usp=sharing"",""เพชรบุรี!I293"")"),20)</f>
        <v>20</v>
      </c>
      <c r="J398" s="198">
        <f ca="1">IFERROR(__xludf.DUMMYFUNCTION("IMPORTRANGE(""https://docs.google.com/spreadsheets/d/1SX6NBoVAgQJ6U1MVXOaj8PK2l7WJ3RER9xtqwdhxkhw/edit?usp=sharing"",""เพชรบุรี!J293"")"),50)</f>
        <v>50</v>
      </c>
      <c r="K398" s="163">
        <f t="shared" ca="1" si="110"/>
        <v>250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IFERROR(__xludf.DUMMYFUNCTION("IMPORTRANGE(""https://docs.google.com/spreadsheets/d/1SX6NBoVAgQJ6U1MVXOaj8PK2l7WJ3RER9xtqwdhxkhw/edit?usp=sharing"",""เพชรบุรี!J294"")"),0)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IFERROR(__xludf.DUMMYFUNCTION("IMPORTRANGE(""https://docs.google.com/spreadsheets/d/1SX6NBoVAgQJ6U1MVXOaj8PK2l7WJ3RER9xtqwdhxkhw/edit?usp=sharing"",""เพชรบุรี!J295"")"),0)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IFERROR(__xludf.DUMMYFUNCTION("IMPORTRANGE(""https://docs.google.com/spreadsheets/d/1SX6NBoVAgQJ6U1MVXOaj8PK2l7WJ3RER9xtqwdhxkhw/edit?usp=sharing"",""เพชรบุรี!I296"")"),180)</f>
        <v>180</v>
      </c>
      <c r="J401" s="371">
        <f ca="1">IFERROR(__xludf.DUMMYFUNCTION("IMPORTRANGE(""https://docs.google.com/spreadsheets/d/1SX6NBoVAgQJ6U1MVXOaj8PK2l7WJ3RER9xtqwdhxkhw/edit?usp=sharing"",""เพชรบุรี!J296"")"),180)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IFERROR(__xludf.DUMMYFUNCTION("IMPORTRANGE(""https://docs.google.com/spreadsheets/d/1SX6NBoVAgQJ6U1MVXOaj8PK2l7WJ3RER9xtqwdhxkhw/edit?usp=sharing"",""เพชรบุรี!L296"")"),207000)</f>
        <v>207000</v>
      </c>
      <c r="M401" s="373"/>
      <c r="N401" s="373">
        <f ca="1">IFERROR(__xludf.DUMMYFUNCTION("IMPORTRANGE(""https://docs.google.com/spreadsheets/d/1SX6NBoVAgQJ6U1MVXOaj8PK2l7WJ3RER9xtqwdhxkhw/edit?usp=sharing"",""เพชรบุรี!M296"")"),147467)</f>
        <v>147467</v>
      </c>
      <c r="O401" s="373">
        <f ca="1">+IF(L401&gt;0,N401*100/L401,0)</f>
        <v>71.240096618357484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IFERROR(__xludf.DUMMYFUNCTION("IMPORTRANGE(""https://docs.google.com/spreadsheets/d/1SX6NBoVAgQJ6U1MVXOaj8PK2l7WJ3RER9xtqwdhxkhw/edit?usp=sharing"",""เพชรบุรี!I297"")"),60)</f>
        <v>60</v>
      </c>
      <c r="J402" s="371">
        <f ca="1">IFERROR(__xludf.DUMMYFUNCTION("IMPORTRANGE(""https://docs.google.com/spreadsheets/d/1SX6NBoVAgQJ6U1MVXOaj8PK2l7WJ3RER9xtqwdhxkhw/edit?usp=sharing"",""เพชรบุรี!J297"")"),60)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IFERROR(__xludf.DUMMYFUNCTION("IMPORTRANGE(""https://docs.google.com/spreadsheets/d/1SX6NBoVAgQJ6U1MVXOaj8PK2l7WJ3RER9xtqwdhxkhw/edit?usp=sharing"",""เพชรบุรี!L298"")"),0)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IFERROR(__xludf.DUMMYFUNCTION("IMPORTRANGE(""https://docs.google.com/spreadsheets/d/1SX6NBoVAgQJ6U1MVXOaj8PK2l7WJ3RER9xtqwdhxkhw/edit?usp=sharing"",""เพชรบุรี!M298"")"),0)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IFERROR(__xludf.DUMMYFUNCTION("IMPORTRANGE(""https://docs.google.com/spreadsheets/d/1SX6NBoVAgQJ6U1MVXOaj8PK2l7WJ3RER9xtqwdhxkhw/edit?usp=sharing"",""เพชรบุรี!L299"")"),207000)</f>
        <v>207000</v>
      </c>
      <c r="M404" s="165"/>
      <c r="N404" s="169">
        <f ca="1">IFERROR(__xludf.DUMMYFUNCTION("IMPORTRANGE(""https://docs.google.com/spreadsheets/d/1SX6NBoVAgQJ6U1MVXOaj8PK2l7WJ3RER9xtqwdhxkhw/edit?usp=sharing"",""เพชรบุรี!M299"")"),147467)</f>
        <v>147467</v>
      </c>
      <c r="O404" s="169">
        <f t="shared" ca="1" si="112"/>
        <v>71.240096618357484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IFERROR(__xludf.DUMMYFUNCTION("IMPORTRANGE(""https://docs.google.com/spreadsheets/d/1SX6NBoVAgQJ6U1MVXOaj8PK2l7WJ3RER9xtqwdhxkhw/edit?usp=sharing"",""เพชรบุรี!L300"")"),0)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IFERROR(__xludf.DUMMYFUNCTION("IMPORTRANGE(""https://docs.google.com/spreadsheets/d/1SX6NBoVAgQJ6U1MVXOaj8PK2l7WJ3RER9xtqwdhxkhw/edit?usp=sharing"",""เพชรบุรี!M300"")"),0)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IFERROR(__xludf.DUMMYFUNCTION("IMPORTRANGE(""https://docs.google.com/spreadsheets/d/1SX6NBoVAgQJ6U1MVXOaj8PK2l7WJ3RER9xtqwdhxkhw/edit?usp=sharing"",""เพชรบุรี!L301"")"),207000)</f>
        <v>207000</v>
      </c>
      <c r="M406" s="169"/>
      <c r="N406" s="169">
        <f ca="1">IFERROR(__xludf.DUMMYFUNCTION("IMPORTRANGE(""https://docs.google.com/spreadsheets/d/1SX6NBoVAgQJ6U1MVXOaj8PK2l7WJ3RER9xtqwdhxkhw/edit?usp=sharing"",""เพชรบุรี!M301"")"),147467)</f>
        <v>147467</v>
      </c>
      <c r="O406" s="169">
        <f t="shared" ca="1" si="112"/>
        <v>71.240096618357484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IFERROR(__xludf.DUMMYFUNCTION("IMPORTRANGE(""https://docs.google.com/spreadsheets/d/1SX6NBoVAgQJ6U1MVXOaj8PK2l7WJ3RER9xtqwdhxkhw/edit?usp=sharing"",""เพชรบุรี!M302"")"),90807)</f>
        <v>90807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IFERROR(__xludf.DUMMYFUNCTION("IMPORTRANGE(""https://docs.google.com/spreadsheets/d/1SX6NBoVAgQJ6U1MVXOaj8PK2l7WJ3RER9xtqwdhxkhw/edit?usp=sharing"",""เพชรบุรี!M303"")"),54300)</f>
        <v>54300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IFERROR(__xludf.DUMMYFUNCTION("IMPORTRANGE(""https://docs.google.com/spreadsheets/d/1SX6NBoVAgQJ6U1MVXOaj8PK2l7WJ3RER9xtqwdhxkhw/edit?usp=sharing"",""เพชรบุรี!M304"")"),0)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IFERROR(__xludf.DUMMYFUNCTION("IMPORTRANGE(""https://docs.google.com/spreadsheets/d/1SX6NBoVAgQJ6U1MVXOaj8PK2l7WJ3RER9xtqwdhxkhw/edit?usp=sharing"",""เพชรบุรี!M305"")"),2360)</f>
        <v>2360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IFERROR(__xludf.DUMMYFUNCTION("IMPORTRANGE(""https://docs.google.com/spreadsheets/d/1SX6NBoVAgQJ6U1MVXOaj8PK2l7WJ3RER9xtqwdhxkhw/edit?usp=sharing"",""เพชรบุรี!J307"")"),0)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IFERROR(__xludf.DUMMYFUNCTION("IMPORTRANGE(""https://docs.google.com/spreadsheets/d/1SX6NBoVAgQJ6U1MVXOaj8PK2l7WJ3RER9xtqwdhxkhw/edit?usp=sharing"",""เพชรบุรี!J308"")"),1)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IFERROR(__xludf.DUMMYFUNCTION("IMPORTRANGE(""https://docs.google.com/spreadsheets/d/1SX6NBoVAgQJ6U1MVXOaj8PK2l7WJ3RER9xtqwdhxkhw/edit?usp=sharing"",""เพชรบุรี!J309"")"),1)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IFERROR(__xludf.DUMMYFUNCTION("IMPORTRANGE(""https://docs.google.com/spreadsheets/d/1SX6NBoVAgQJ6U1MVXOaj8PK2l7WJ3RER9xtqwdhxkhw/edit?usp=sharing"",""เพชรบุรี!J310"")"),1)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IFERROR(__xludf.DUMMYFUNCTION("IMPORTRANGE(""https://docs.google.com/spreadsheets/d/1SX6NBoVAgQJ6U1MVXOaj8PK2l7WJ3RER9xtqwdhxkhw/edit?usp=sharing"",""เพชรบุรี!I311"")"),60)</f>
        <v>60</v>
      </c>
      <c r="J416" s="201">
        <f ca="1">IFERROR(__xludf.DUMMYFUNCTION("IMPORTRANGE(""https://docs.google.com/spreadsheets/d/1SX6NBoVAgQJ6U1MVXOaj8PK2l7WJ3RER9xtqwdhxkhw/edit?usp=sharing"",""เพชรบุรี!J311"")"),60)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IFERROR(__xludf.DUMMYFUNCTION("IMPORTRANGE(""https://docs.google.com/spreadsheets/d/1SX6NBoVAgQJ6U1MVXOaj8PK2l7WJ3RER9xtqwdhxkhw/edit?usp=sharing"",""เพชรบุรี!I312"")"),25)</f>
        <v>25</v>
      </c>
      <c r="J417" s="392">
        <f ca="1">IFERROR(__xludf.DUMMYFUNCTION("IMPORTRANGE(""https://docs.google.com/spreadsheets/d/1SX6NBoVAgQJ6U1MVXOaj8PK2l7WJ3RER9xtqwdhxkhw/edit?usp=sharing"",""เพชรบุรี!J312"")"),25)</f>
        <v>25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IFERROR(__xludf.DUMMYFUNCTION("IMPORTRANGE(""https://docs.google.com/spreadsheets/d/1SX6NBoVAgQJ6U1MVXOaj8PK2l7WJ3RER9xtqwdhxkhw/edit?usp=sharing"",""เพชรบุรี!I313"")"),75)</f>
        <v>75</v>
      </c>
      <c r="J418" s="393">
        <f ca="1">IFERROR(__xludf.DUMMYFUNCTION("IMPORTRANGE(""https://docs.google.com/spreadsheets/d/1SX6NBoVAgQJ6U1MVXOaj8PK2l7WJ3RER9xtqwdhxkhw/edit?usp=sharing"",""เพชรบุรี!J313"")"),75)</f>
        <v>75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IFERROR(__xludf.DUMMYFUNCTION("IMPORTRANGE(""https://docs.google.com/spreadsheets/d/1SX6NBoVAgQJ6U1MVXOaj8PK2l7WJ3RER9xtqwdhxkhw/edit?usp=sharing"",""เพชรบุรี!I314"")"),25)</f>
        <v>25</v>
      </c>
      <c r="J419" s="394">
        <f ca="1">IFERROR(__xludf.DUMMYFUNCTION("IMPORTRANGE(""https://docs.google.com/spreadsheets/d/1SX6NBoVAgQJ6U1MVXOaj8PK2l7WJ3RER9xtqwdhxkhw/edit?usp=sharing"",""เพชรบุรี!J314"")"),25)</f>
        <v>25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IFERROR(__xludf.DUMMYFUNCTION("IMPORTRANGE(""https://docs.google.com/spreadsheets/d/1SX6NBoVAgQJ6U1MVXOaj8PK2l7WJ3RER9xtqwdhxkhw/edit?usp=sharing"",""เพชรบุรี!I315"")"),25)</f>
        <v>25</v>
      </c>
      <c r="J420" s="394">
        <f ca="1">IFERROR(__xludf.DUMMYFUNCTION("IMPORTRANGE(""https://docs.google.com/spreadsheets/d/1SX6NBoVAgQJ6U1MVXOaj8PK2l7WJ3RER9xtqwdhxkhw/edit?usp=sharing"",""เพชรบุรี!J315"")"),25)</f>
        <v>25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IFERROR(__xludf.DUMMYFUNCTION("IMPORTRANGE(""https://docs.google.com/spreadsheets/d/1SX6NBoVAgQJ6U1MVXOaj8PK2l7WJ3RER9xtqwdhxkhw/edit?usp=sharing"",""เพชรบุรี!I316"")"),24)</f>
        <v>24</v>
      </c>
      <c r="J421" s="392">
        <f ca="1">IFERROR(__xludf.DUMMYFUNCTION("IMPORTRANGE(""https://docs.google.com/spreadsheets/d/1SX6NBoVAgQJ6U1MVXOaj8PK2l7WJ3RER9xtqwdhxkhw/edit?usp=sharing"",""เพชรบุรี!J316"")"),24)</f>
        <v>24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IFERROR(__xludf.DUMMYFUNCTION("IMPORTRANGE(""https://docs.google.com/spreadsheets/d/1SX6NBoVAgQJ6U1MVXOaj8PK2l7WJ3RER9xtqwdhxkhw/edit?usp=sharing"",""เพชรบุรี!I317"")"),72)</f>
        <v>72</v>
      </c>
      <c r="J422" s="393">
        <f ca="1">IFERROR(__xludf.DUMMYFUNCTION("IMPORTRANGE(""https://docs.google.com/spreadsheets/d/1SX6NBoVAgQJ6U1MVXOaj8PK2l7WJ3RER9xtqwdhxkhw/edit?usp=sharing"",""เพชรบุรี!J317"")"),72)</f>
        <v>72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IFERROR(__xludf.DUMMYFUNCTION("IMPORTRANGE(""https://docs.google.com/spreadsheets/d/1SX6NBoVAgQJ6U1MVXOaj8PK2l7WJ3RER9xtqwdhxkhw/edit?usp=sharing"",""เพชรบุรี!I318"")"),24)</f>
        <v>24</v>
      </c>
      <c r="J423" s="394">
        <f ca="1">IFERROR(__xludf.DUMMYFUNCTION("IMPORTRANGE(""https://docs.google.com/spreadsheets/d/1SX6NBoVAgQJ6U1MVXOaj8PK2l7WJ3RER9xtqwdhxkhw/edit?usp=sharing"",""เพชรบุรี!J318"")"),24)</f>
        <v>24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IFERROR(__xludf.DUMMYFUNCTION("IMPORTRANGE(""https://docs.google.com/spreadsheets/d/1SX6NBoVAgQJ6U1MVXOaj8PK2l7WJ3RER9xtqwdhxkhw/edit?usp=sharing"",""เพชรบุรี!I319"")"),24)</f>
        <v>24</v>
      </c>
      <c r="J424" s="394">
        <f ca="1">IFERROR(__xludf.DUMMYFUNCTION("IMPORTRANGE(""https://docs.google.com/spreadsheets/d/1SX6NBoVAgQJ6U1MVXOaj8PK2l7WJ3RER9xtqwdhxkhw/edit?usp=sharing"",""เพชรบุรี!J319"")"),24)</f>
        <v>24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IFERROR(__xludf.DUMMYFUNCTION("IMPORTRANGE(""https://docs.google.com/spreadsheets/d/1SX6NBoVAgQJ6U1MVXOaj8PK2l7WJ3RER9xtqwdhxkhw/edit?usp=sharing"",""เพชรบุรี!I320"")"),24)</f>
        <v>24</v>
      </c>
      <c r="J425" s="394">
        <f ca="1">IFERROR(__xludf.DUMMYFUNCTION("IMPORTRANGE(""https://docs.google.com/spreadsheets/d/1SX6NBoVAgQJ6U1MVXOaj8PK2l7WJ3RER9xtqwdhxkhw/edit?usp=sharing"",""เพชรบุรี!J320"")"),24)</f>
        <v>24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IFERROR(__xludf.DUMMYFUNCTION("IMPORTRANGE(""https://docs.google.com/spreadsheets/d/1SX6NBoVAgQJ6U1MVXOaj8PK2l7WJ3RER9xtqwdhxkhw/edit?usp=sharing"",""เพชรบุรี!I321"")"),11)</f>
        <v>11</v>
      </c>
      <c r="J426" s="392">
        <f ca="1">IFERROR(__xludf.DUMMYFUNCTION("IMPORTRANGE(""https://docs.google.com/spreadsheets/d/1SX6NBoVAgQJ6U1MVXOaj8PK2l7WJ3RER9xtqwdhxkhw/edit?usp=sharing"",""เพชรบุรี!J321"")"),11)</f>
        <v>11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IFERROR(__xludf.DUMMYFUNCTION("IMPORTRANGE(""https://docs.google.com/spreadsheets/d/1SX6NBoVAgQJ6U1MVXOaj8PK2l7WJ3RER9xtqwdhxkhw/edit?usp=sharing"",""เพชรบุรี!I322"")"),33)</f>
        <v>33</v>
      </c>
      <c r="J427" s="393">
        <f ca="1">IFERROR(__xludf.DUMMYFUNCTION("IMPORTRANGE(""https://docs.google.com/spreadsheets/d/1SX6NBoVAgQJ6U1MVXOaj8PK2l7WJ3RER9xtqwdhxkhw/edit?usp=sharing"",""เพชรบุรี!J322"")"),33)</f>
        <v>33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IFERROR(__xludf.DUMMYFUNCTION("IMPORTRANGE(""https://docs.google.com/spreadsheets/d/1SX6NBoVAgQJ6U1MVXOaj8PK2l7WJ3RER9xtqwdhxkhw/edit?usp=sharing"",""เพชรบุรี!I323"")"),11)</f>
        <v>11</v>
      </c>
      <c r="J428" s="394">
        <f ca="1">IFERROR(__xludf.DUMMYFUNCTION("IMPORTRANGE(""https://docs.google.com/spreadsheets/d/1SX6NBoVAgQJ6U1MVXOaj8PK2l7WJ3RER9xtqwdhxkhw/edit?usp=sharing"",""เพชรบุรี!J323"")"),11)</f>
        <v>11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IFERROR(__xludf.DUMMYFUNCTION("IMPORTRANGE(""https://docs.google.com/spreadsheets/d/1SX6NBoVAgQJ6U1MVXOaj8PK2l7WJ3RER9xtqwdhxkhw/edit?usp=sharing"",""เพชรบุรี!I324"")"),11)</f>
        <v>11</v>
      </c>
      <c r="J429" s="394">
        <f ca="1">IFERROR(__xludf.DUMMYFUNCTION("IMPORTRANGE(""https://docs.google.com/spreadsheets/d/1SX6NBoVAgQJ6U1MVXOaj8PK2l7WJ3RER9xtqwdhxkhw/edit?usp=sharing"",""เพชรบุรี!J324"")"),11)</f>
        <v>11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IFERROR(__xludf.DUMMYFUNCTION("IMPORTRANGE(""https://docs.google.com/spreadsheets/d/1SX6NBoVAgQJ6U1MVXOaj8PK2l7WJ3RER9xtqwdhxkhw/edit?usp=sharing"",""เพชรบุรี!I325"")"),49)</f>
        <v>49</v>
      </c>
      <c r="J430" s="392">
        <f ca="1">IFERROR(__xludf.DUMMYFUNCTION("IMPORTRANGE(""https://docs.google.com/spreadsheets/d/1SX6NBoVAgQJ6U1MVXOaj8PK2l7WJ3RER9xtqwdhxkhw/edit?usp=sharing"",""เพชรบุรี!J325"")"),0)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IFERROR(__xludf.DUMMYFUNCTION("IMPORTRANGE(""https://docs.google.com/spreadsheets/d/1SX6NBoVAgQJ6U1MVXOaj8PK2l7WJ3RER9xtqwdhxkhw/edit?usp=sharing"",""เพชรบุรี!I326"")"),25)</f>
        <v>25</v>
      </c>
      <c r="J431" s="394">
        <f ca="1">IFERROR(__xludf.DUMMYFUNCTION("IMPORTRANGE(""https://docs.google.com/spreadsheets/d/1SX6NBoVAgQJ6U1MVXOaj8PK2l7WJ3RER9xtqwdhxkhw/edit?usp=sharing"",""เพชรบุรี!J326"")"),0)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IFERROR(__xludf.DUMMYFUNCTION("IMPORTRANGE(""https://docs.google.com/spreadsheets/d/1SX6NBoVAgQJ6U1MVXOaj8PK2l7WJ3RER9xtqwdhxkhw/edit?usp=sharing"",""เพชรบุรี!I327"")"),24)</f>
        <v>24</v>
      </c>
      <c r="J432" s="394">
        <f ca="1">IFERROR(__xludf.DUMMYFUNCTION("IMPORTRANGE(""https://docs.google.com/spreadsheets/d/1SX6NBoVAgQJ6U1MVXOaj8PK2l7WJ3RER9xtqwdhxkhw/edit?usp=sharing"",""เพชรบุรี!J327"")"),0)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IFERROR(__xludf.DUMMYFUNCTION("IMPORTRANGE(""https://docs.google.com/spreadsheets/d/1SX6NBoVAgQJ6U1MVXOaj8PK2l7WJ3RER9xtqwdhxkhw/edit?usp=sharing"",""เพชรบุรี!J328"")"),0)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IFERROR(__xludf.DUMMYFUNCTION("IMPORTRANGE(""https://docs.google.com/spreadsheets/d/1SX6NBoVAgQJ6U1MVXOaj8PK2l7WJ3RER9xtqwdhxkhw/edit?usp=sharing"",""เพชรบุรี!J329"")"),0)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IFERROR(__xludf.DUMMYFUNCTION("IMPORTRANGE(""https://docs.google.com/spreadsheets/d/1SX6NBoVAgQJ6U1MVXOaj8PK2l7WJ3RER9xtqwdhxkhw/edit?usp=sharing"",""เพชรบุรี!I330"")"),50)</f>
        <v>50</v>
      </c>
      <c r="J435" s="410">
        <f ca="1">IFERROR(__xludf.DUMMYFUNCTION("IMPORTRANGE(""https://docs.google.com/spreadsheets/d/1SX6NBoVAgQJ6U1MVXOaj8PK2l7WJ3RER9xtqwdhxkhw/edit?usp=sharing"",""เพชรบุรี!J330"")"),50)</f>
        <v>50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IFERROR(__xludf.DUMMYFUNCTION("IMPORTRANGE(""https://docs.google.com/spreadsheets/d/1SX6NBoVAgQJ6U1MVXOaj8PK2l7WJ3RER9xtqwdhxkhw/edit?usp=sharing"",""เพชรบุรี!L330"")"),166400)</f>
        <v>166400</v>
      </c>
      <c r="M435" s="412"/>
      <c r="N435" s="412">
        <f ca="1">IFERROR(__xludf.DUMMYFUNCTION("IMPORTRANGE(""https://docs.google.com/spreadsheets/d/1SX6NBoVAgQJ6U1MVXOaj8PK2l7WJ3RER9xtqwdhxkhw/edit?usp=sharing"",""เพชรบุรี!M330"")"),122949)</f>
        <v>122949</v>
      </c>
      <c r="O435" s="412">
        <f t="shared" ref="O435:O439" ca="1" si="114">+IF(L435&gt;0,N435*100/L435,0)</f>
        <v>73.887620192307693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IFERROR(__xludf.DUMMYFUNCTION("IMPORTRANGE(""https://docs.google.com/spreadsheets/d/1SX6NBoVAgQJ6U1MVXOaj8PK2l7WJ3RER9xtqwdhxkhw/edit?usp=sharing"",""เพชรบุรี!L331"")"),0)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IFERROR(__xludf.DUMMYFUNCTION("IMPORTRANGE(""https://docs.google.com/spreadsheets/d/1SX6NBoVAgQJ6U1MVXOaj8PK2l7WJ3RER9xtqwdhxkhw/edit?usp=sharing"",""เพชรบุรี!M331"")"),0)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IFERROR(__xludf.DUMMYFUNCTION("IMPORTRANGE(""https://docs.google.com/spreadsheets/d/1SX6NBoVAgQJ6U1MVXOaj8PK2l7WJ3RER9xtqwdhxkhw/edit?usp=sharing"",""เพชรบุรี!L332"")"),166400)</f>
        <v>166400</v>
      </c>
      <c r="M437" s="165"/>
      <c r="N437" s="169">
        <f ca="1">IFERROR(__xludf.DUMMYFUNCTION("IMPORTRANGE(""https://docs.google.com/spreadsheets/d/1SX6NBoVAgQJ6U1MVXOaj8PK2l7WJ3RER9xtqwdhxkhw/edit?usp=sharing"",""เพชรบุรี!M332"")"),122949)</f>
        <v>122949</v>
      </c>
      <c r="O437" s="169">
        <f t="shared" ca="1" si="114"/>
        <v>73.887620192307693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IFERROR(__xludf.DUMMYFUNCTION("IMPORTRANGE(""https://docs.google.com/spreadsheets/d/1SX6NBoVAgQJ6U1MVXOaj8PK2l7WJ3RER9xtqwdhxkhw/edit?usp=sharing"",""เพชรบุรี!L333"")"),0)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IFERROR(__xludf.DUMMYFUNCTION("IMPORTRANGE(""https://docs.google.com/spreadsheets/d/1SX6NBoVAgQJ6U1MVXOaj8PK2l7WJ3RER9xtqwdhxkhw/edit?usp=sharing"",""เพชรบุรี!M333"")"),0)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IFERROR(__xludf.DUMMYFUNCTION("IMPORTRANGE(""https://docs.google.com/spreadsheets/d/1SX6NBoVAgQJ6U1MVXOaj8PK2l7WJ3RER9xtqwdhxkhw/edit?usp=sharing"",""เพชรบุรี!L334"")"),166400)</f>
        <v>166400</v>
      </c>
      <c r="M439" s="169"/>
      <c r="N439" s="169">
        <f ca="1">IFERROR(__xludf.DUMMYFUNCTION("IMPORTRANGE(""https://docs.google.com/spreadsheets/d/1SX6NBoVAgQJ6U1MVXOaj8PK2l7WJ3RER9xtqwdhxkhw/edit?usp=sharing"",""เพชรบุรี!M334"")"),122949)</f>
        <v>122949</v>
      </c>
      <c r="O439" s="169">
        <f t="shared" ca="1" si="114"/>
        <v>73.887620192307693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IFERROR(__xludf.DUMMYFUNCTION("IMPORTRANGE(""https://docs.google.com/spreadsheets/d/1SX6NBoVAgQJ6U1MVXOaj8PK2l7WJ3RER9xtqwdhxkhw/edit?usp=sharing"",""เพชรบุรี!M335"")"),122949)</f>
        <v>122949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IFERROR(__xludf.DUMMYFUNCTION("IMPORTRANGE(""https://docs.google.com/spreadsheets/d/1SX6NBoVAgQJ6U1MVXOaj8PK2l7WJ3RER9xtqwdhxkhw/edit?usp=sharing"",""เพชรบุรี!M336"")"),0)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IFERROR(__xludf.DUMMYFUNCTION("IMPORTRANGE(""https://docs.google.com/spreadsheets/d/1SX6NBoVAgQJ6U1MVXOaj8PK2l7WJ3RER9xtqwdhxkhw/edit?usp=sharing"",""เพชรบุรี!M337"")"),0)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IFERROR(__xludf.DUMMYFUNCTION("IMPORTRANGE(""https://docs.google.com/spreadsheets/d/1SX6NBoVAgQJ6U1MVXOaj8PK2l7WJ3RER9xtqwdhxkhw/edit?usp=sharing"",""เพชรบุรี!M338"")"),0)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IFERROR(__xludf.DUMMYFUNCTION("IMPORTRANGE(""https://docs.google.com/spreadsheets/d/1SX6NBoVAgQJ6U1MVXOaj8PK2l7WJ3RER9xtqwdhxkhw/edit?usp=sharing"",""เพชรบุรี!J340"")"),0)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IFERROR(__xludf.DUMMYFUNCTION("IMPORTRANGE(""https://docs.google.com/spreadsheets/d/1SX6NBoVAgQJ6U1MVXOaj8PK2l7WJ3RER9xtqwdhxkhw/edit?usp=sharing"",""เพชรบุรี!J341"")"),1)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IFERROR(__xludf.DUMMYFUNCTION("IMPORTRANGE(""https://docs.google.com/spreadsheets/d/1SX6NBoVAgQJ6U1MVXOaj8PK2l7WJ3RER9xtqwdhxkhw/edit?usp=sharing"",""เพชรบุรี!J342"")"),1)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IFERROR(__xludf.DUMMYFUNCTION("IMPORTRANGE(""https://docs.google.com/spreadsheets/d/1SX6NBoVAgQJ6U1MVXOaj8PK2l7WJ3RER9xtqwdhxkhw/edit?usp=sharing"",""เพชรบุรี!J343"")"),1)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IFERROR(__xludf.DUMMYFUNCTION("IMPORTRANGE(""https://docs.google.com/spreadsheets/d/1SX6NBoVAgQJ6U1MVXOaj8PK2l7WJ3RER9xtqwdhxkhw/edit?usp=sharing"",""เพชรบุรี!I344"")"),50)</f>
        <v>50</v>
      </c>
      <c r="J449" s="201">
        <f ca="1">IFERROR(__xludf.DUMMYFUNCTION("IMPORTRANGE(""https://docs.google.com/spreadsheets/d/1SX6NBoVAgQJ6U1MVXOaj8PK2l7WJ3RER9xtqwdhxkhw/edit?usp=sharing"",""เพชรบุรี!J344"")"),50)</f>
        <v>50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IFERROR(__xludf.DUMMYFUNCTION("IMPORTRANGE(""https://docs.google.com/spreadsheets/d/1SX6NBoVAgQJ6U1MVXOaj8PK2l7WJ3RER9xtqwdhxkhw/edit?usp=sharing"",""เพชรบุรี!I345"")"),50)</f>
        <v>50</v>
      </c>
      <c r="J450" s="189">
        <f ca="1">IFERROR(__xludf.DUMMYFUNCTION("IMPORTRANGE(""https://docs.google.com/spreadsheets/d/1SX6NBoVAgQJ6U1MVXOaj8PK2l7WJ3RER9xtqwdhxkhw/edit?usp=sharing"",""เพชรบุรี!J345"")"),50)</f>
        <v>50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IFERROR(__xludf.DUMMYFUNCTION("IMPORTRANGE(""https://docs.google.com/spreadsheets/d/1SX6NBoVAgQJ6U1MVXOaj8PK2l7WJ3RER9xtqwdhxkhw/edit?usp=sharing"",""เพชรบุรี!I346"")"),0)</f>
        <v>0</v>
      </c>
      <c r="J451" s="188">
        <f ca="1">IFERROR(__xludf.DUMMYFUNCTION("IMPORTRANGE(""https://docs.google.com/spreadsheets/d/1SX6NBoVAgQJ6U1MVXOaj8PK2l7WJ3RER9xtqwdhxkhw/edit?usp=sharing"",""เพชรบุรี!J346"")"),0)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IFERROR(__xludf.DUMMYFUNCTION("IMPORTRANGE(""https://docs.google.com/spreadsheets/d/1SX6NBoVAgQJ6U1MVXOaj8PK2l7WJ3RER9xtqwdhxkhw/edit?usp=sharing"",""เพชรบุรี!I347"")"),0)</f>
        <v>0</v>
      </c>
      <c r="J452" s="188">
        <f ca="1">IFERROR(__xludf.DUMMYFUNCTION("IMPORTRANGE(""https://docs.google.com/spreadsheets/d/1SX6NBoVAgQJ6U1MVXOaj8PK2l7WJ3RER9xtqwdhxkhw/edit?usp=sharing"",""เพชรบุรี!J347"")"),0)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IFERROR(__xludf.DUMMYFUNCTION("IMPORTRANGE(""https://docs.google.com/spreadsheets/d/1SX6NBoVAgQJ6U1MVXOaj8PK2l7WJ3RER9xtqwdhxkhw/edit?usp=sharing"",""เพชรบุรี!J348"")"),0)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IFERROR(__xludf.DUMMYFUNCTION("IMPORTRANGE(""https://docs.google.com/spreadsheets/d/1SX6NBoVAgQJ6U1MVXOaj8PK2l7WJ3RER9xtqwdhxkhw/edit?usp=sharing"",""เพชรบุรี!J349"")"),0)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IFERROR(__xludf.DUMMYFUNCTION("IMPORTRANGE(""https://docs.google.com/spreadsheets/d/1SX6NBoVAgQJ6U1MVXOaj8PK2l7WJ3RER9xtqwdhxkhw/edit?usp=sharing"",""เพชรบุรี!I350"")"),2359)</f>
        <v>2359</v>
      </c>
      <c r="J455" s="371">
        <f ca="1">IFERROR(__xludf.DUMMYFUNCTION("IMPORTRANGE(""https://docs.google.com/spreadsheets/d/1SX6NBoVAgQJ6U1MVXOaj8PK2l7WJ3RER9xtqwdhxkhw/edit?usp=sharing"",""เพชรบุรี!J350"")"),2359)</f>
        <v>2359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IFERROR(__xludf.DUMMYFUNCTION("IMPORTRANGE(""https://docs.google.com/spreadsheets/d/1SX6NBoVAgQJ6U1MVXOaj8PK2l7WJ3RER9xtqwdhxkhw/edit?usp=sharing"",""เพชรบุรี!L350"")"),108247)</f>
        <v>108247</v>
      </c>
      <c r="M455" s="373"/>
      <c r="N455" s="373">
        <f ca="1">IFERROR(__xludf.DUMMYFUNCTION("IMPORTRANGE(""https://docs.google.com/spreadsheets/d/1SX6NBoVAgQJ6U1MVXOaj8PK2l7WJ3RER9xtqwdhxkhw/edit?usp=sharing"",""เพชรบุรี!M350"")"),36230)</f>
        <v>36230</v>
      </c>
      <c r="O455" s="373">
        <f t="shared" ref="O455:O459" ca="1" si="116">+IF(L455&gt;0,N455*100/L455,0)</f>
        <v>33.469749739022788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IFERROR(__xludf.DUMMYFUNCTION("IMPORTRANGE(""https://docs.google.com/spreadsheets/d/1SX6NBoVAgQJ6U1MVXOaj8PK2l7WJ3RER9xtqwdhxkhw/edit?usp=sharing"",""เพชรบุรี!L351"")"),0)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IFERROR(__xludf.DUMMYFUNCTION("IMPORTRANGE(""https://docs.google.com/spreadsheets/d/1SX6NBoVAgQJ6U1MVXOaj8PK2l7WJ3RER9xtqwdhxkhw/edit?usp=sharing"",""เพชรบุรี!M351"")"),0)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IFERROR(__xludf.DUMMYFUNCTION("IMPORTRANGE(""https://docs.google.com/spreadsheets/d/1SX6NBoVAgQJ6U1MVXOaj8PK2l7WJ3RER9xtqwdhxkhw/edit?usp=sharing"",""เพชรบุรี!L352"")"),108247)</f>
        <v>108247</v>
      </c>
      <c r="M457" s="165"/>
      <c r="N457" s="169">
        <f ca="1">IFERROR(__xludf.DUMMYFUNCTION("IMPORTRANGE(""https://docs.google.com/spreadsheets/d/1SX6NBoVAgQJ6U1MVXOaj8PK2l7WJ3RER9xtqwdhxkhw/edit?usp=sharing"",""เพชรบุรี!M352"")"),36230)</f>
        <v>36230</v>
      </c>
      <c r="O457" s="169">
        <f t="shared" ca="1" si="116"/>
        <v>33.469749739022788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IFERROR(__xludf.DUMMYFUNCTION("IMPORTRANGE(""https://docs.google.com/spreadsheets/d/1SX6NBoVAgQJ6U1MVXOaj8PK2l7WJ3RER9xtqwdhxkhw/edit?usp=sharing"",""เพชรบุรี!L353"")"),0)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IFERROR(__xludf.DUMMYFUNCTION("IMPORTRANGE(""https://docs.google.com/spreadsheets/d/1SX6NBoVAgQJ6U1MVXOaj8PK2l7WJ3RER9xtqwdhxkhw/edit?usp=sharing"",""เพชรบุรี!M353"")"),0)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IFERROR(__xludf.DUMMYFUNCTION("IMPORTRANGE(""https://docs.google.com/spreadsheets/d/1SX6NBoVAgQJ6U1MVXOaj8PK2l7WJ3RER9xtqwdhxkhw/edit?usp=sharing"",""เพชรบุรี!L354"")"),108247)</f>
        <v>108247</v>
      </c>
      <c r="M459" s="169"/>
      <c r="N459" s="169">
        <f ca="1">IFERROR(__xludf.DUMMYFUNCTION("IMPORTRANGE(""https://docs.google.com/spreadsheets/d/1SX6NBoVAgQJ6U1MVXOaj8PK2l7WJ3RER9xtqwdhxkhw/edit?usp=sharing"",""เพชรบุรี!M354"")"),36230)</f>
        <v>36230</v>
      </c>
      <c r="O459" s="169">
        <f t="shared" ca="1" si="116"/>
        <v>33.469749739022788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IFERROR(__xludf.DUMMYFUNCTION("IMPORTRANGE(""https://docs.google.com/spreadsheets/d/1SX6NBoVAgQJ6U1MVXOaj8PK2l7WJ3RER9xtqwdhxkhw/edit?usp=sharing"",""เพชรบุรี!M355"")"),0)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IFERROR(__xludf.DUMMYFUNCTION("IMPORTRANGE(""https://docs.google.com/spreadsheets/d/1SX6NBoVAgQJ6U1MVXOaj8PK2l7WJ3RER9xtqwdhxkhw/edit?usp=sharing"",""เพชรบุรี!M356"")"),0)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IFERROR(__xludf.DUMMYFUNCTION("IMPORTRANGE(""https://docs.google.com/spreadsheets/d/1SX6NBoVAgQJ6U1MVXOaj8PK2l7WJ3RER9xtqwdhxkhw/edit?usp=sharing"",""เพชรบุรี!M357"")"),0)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IFERROR(__xludf.DUMMYFUNCTION("IMPORTRANGE(""https://docs.google.com/spreadsheets/d/1SX6NBoVAgQJ6U1MVXOaj8PK2l7WJ3RER9xtqwdhxkhw/edit?usp=sharing"",""เพชรบุรี!M358"")"),36230)</f>
        <v>36230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IFERROR(__xludf.DUMMYFUNCTION("IMPORTRANGE(""https://docs.google.com/spreadsheets/d/1SX6NBoVAgQJ6U1MVXOaj8PK2l7WJ3RER9xtqwdhxkhw/edit?usp=sharing"",""เพชรบุรี!I359"")"),2359)</f>
        <v>2359</v>
      </c>
      <c r="J464" s="268">
        <f ca="1">IFERROR(__xludf.DUMMYFUNCTION("IMPORTRANGE(""https://docs.google.com/spreadsheets/d/1SX6NBoVAgQJ6U1MVXOaj8PK2l7WJ3RER9xtqwdhxkhw/edit?usp=sharing"",""เพชรบุรี!J359"")"),2359)</f>
        <v>2359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IFERROR(__xludf.DUMMYFUNCTION("IMPORTRANGE(""https://docs.google.com/spreadsheets/d/1SX6NBoVAgQJ6U1MVXOaj8PK2l7WJ3RER9xtqwdhxkhw/edit?usp=sharing"",""เพชรบุรี!I360"")"),2359)</f>
        <v>2359</v>
      </c>
      <c r="J465" s="420">
        <f ca="1">IFERROR(__xludf.DUMMYFUNCTION("IMPORTRANGE(""https://docs.google.com/spreadsheets/d/1SX6NBoVAgQJ6U1MVXOaj8PK2l7WJ3RER9xtqwdhxkhw/edit?usp=sharing"",""เพชรบุรี!J360"")"),2359)</f>
        <v>2359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IFERROR(__xludf.DUMMYFUNCTION("IMPORTRANGE(""https://docs.google.com/spreadsheets/d/1SX6NBoVAgQJ6U1MVXOaj8PK2l7WJ3RER9xtqwdhxkhw/edit?usp=sharing"",""เพชรบุรี!I361"")"),311)</f>
        <v>311</v>
      </c>
      <c r="J466" s="420">
        <f ca="1">IFERROR(__xludf.DUMMYFUNCTION("IMPORTRANGE(""https://docs.google.com/spreadsheets/d/1SX6NBoVAgQJ6U1MVXOaj8PK2l7WJ3RER9xtqwdhxkhw/edit?usp=sharing"",""เพชรบุรี!J361"")"),311)</f>
        <v>311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IFERROR(__xludf.DUMMYFUNCTION("IMPORTRANGE(""https://docs.google.com/spreadsheets/d/1SX6NBoVAgQJ6U1MVXOaj8PK2l7WJ3RER9xtqwdhxkhw/edit?usp=sharing"",""เพชรบุรี!I362"")"),0)</f>
        <v>0</v>
      </c>
      <c r="J467" s="189">
        <f ca="1">IFERROR(__xludf.DUMMYFUNCTION("IMPORTRANGE(""https://docs.google.com/spreadsheets/d/1SX6NBoVAgQJ6U1MVXOaj8PK2l7WJ3RER9xtqwdhxkhw/edit?usp=sharing"",""เพชรบุรี!J362"")"),2042)</f>
        <v>2042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IFERROR(__xludf.DUMMYFUNCTION("IMPORTRANGE(""https://docs.google.com/spreadsheets/d/1SX6NBoVAgQJ6U1MVXOaj8PK2l7WJ3RER9xtqwdhxkhw/edit?usp=sharing"",""เพชรบุรี!I363"")"),0)</f>
        <v>0</v>
      </c>
      <c r="J468" s="189">
        <f ca="1">IFERROR(__xludf.DUMMYFUNCTION("IMPORTRANGE(""https://docs.google.com/spreadsheets/d/1SX6NBoVAgQJ6U1MVXOaj8PK2l7WJ3RER9xtqwdhxkhw/edit?usp=sharing"",""เพชรบุรี!J363"")"),271)</f>
        <v>271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IFERROR(__xludf.DUMMYFUNCTION("IMPORTRANGE(""https://docs.google.com/spreadsheets/d/1SX6NBoVAgQJ6U1MVXOaj8PK2l7WJ3RER9xtqwdhxkhw/edit?usp=sharing"",""เพชรบุรี!I364"")"),0)</f>
        <v>0</v>
      </c>
      <c r="J469" s="189">
        <f ca="1">IFERROR(__xludf.DUMMYFUNCTION("IMPORTRANGE(""https://docs.google.com/spreadsheets/d/1SX6NBoVAgQJ6U1MVXOaj8PK2l7WJ3RER9xtqwdhxkhw/edit?usp=sharing"",""เพชรบุรี!J364"")"),305)</f>
        <v>305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IFERROR(__xludf.DUMMYFUNCTION("IMPORTRANGE(""https://docs.google.com/spreadsheets/d/1SX6NBoVAgQJ6U1MVXOaj8PK2l7WJ3RER9xtqwdhxkhw/edit?usp=sharing"",""เพชรบุรี!I365"")"),0)</f>
        <v>0</v>
      </c>
      <c r="J470" s="189">
        <f ca="1">IFERROR(__xludf.DUMMYFUNCTION("IMPORTRANGE(""https://docs.google.com/spreadsheets/d/1SX6NBoVAgQJ6U1MVXOaj8PK2l7WJ3RER9xtqwdhxkhw/edit?usp=sharing"",""เพชรบุรี!J365"")"),38)</f>
        <v>38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IFERROR(__xludf.DUMMYFUNCTION("IMPORTRANGE(""https://docs.google.com/spreadsheets/d/1SX6NBoVAgQJ6U1MVXOaj8PK2l7WJ3RER9xtqwdhxkhw/edit?usp=sharing"",""เพชรบุรี!I366"")"),0)</f>
        <v>0</v>
      </c>
      <c r="J471" s="189">
        <f ca="1">IFERROR(__xludf.DUMMYFUNCTION("IMPORTRANGE(""https://docs.google.com/spreadsheets/d/1SX6NBoVAgQJ6U1MVXOaj8PK2l7WJ3RER9xtqwdhxkhw/edit?usp=sharing"",""เพชรบุรี!J366"")"),12)</f>
        <v>12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IFERROR(__xludf.DUMMYFUNCTION("IMPORTRANGE(""https://docs.google.com/spreadsheets/d/1SX6NBoVAgQJ6U1MVXOaj8PK2l7WJ3RER9xtqwdhxkhw/edit?usp=sharing"",""เพชรบุรี!I367"")"),0)</f>
        <v>0</v>
      </c>
      <c r="J472" s="189">
        <f ca="1">IFERROR(__xludf.DUMMYFUNCTION("IMPORTRANGE(""https://docs.google.com/spreadsheets/d/1SX6NBoVAgQJ6U1MVXOaj8PK2l7WJ3RER9xtqwdhxkhw/edit?usp=sharing"",""เพชรบุรี!J367"")"),2)</f>
        <v>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IFERROR(__xludf.DUMMYFUNCTION("IMPORTRANGE(""https://docs.google.com/spreadsheets/d/1SX6NBoVAgQJ6U1MVXOaj8PK2l7WJ3RER9xtqwdhxkhw/edit?usp=sharing"",""เพชรบุรี!I368"")"),2359)</f>
        <v>2359</v>
      </c>
      <c r="J473" s="420">
        <f ca="1">IFERROR(__xludf.DUMMYFUNCTION("IMPORTRANGE(""https://docs.google.com/spreadsheets/d/1SX6NBoVAgQJ6U1MVXOaj8PK2l7WJ3RER9xtqwdhxkhw/edit?usp=sharing"",""เพชรบุรี!J368"")"),2359)</f>
        <v>2359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IFERROR(__xludf.DUMMYFUNCTION("IMPORTRANGE(""https://docs.google.com/spreadsheets/d/1SX6NBoVAgQJ6U1MVXOaj8PK2l7WJ3RER9xtqwdhxkhw/edit?usp=sharing"",""เพชรบุรี!I369"")"),311)</f>
        <v>311</v>
      </c>
      <c r="J474" s="420">
        <f ca="1">IFERROR(__xludf.DUMMYFUNCTION("IMPORTRANGE(""https://docs.google.com/spreadsheets/d/1SX6NBoVAgQJ6U1MVXOaj8PK2l7WJ3RER9xtqwdhxkhw/edit?usp=sharing"",""เพชรบุรี!J369"")"),311)</f>
        <v>311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IFERROR(__xludf.DUMMYFUNCTION("IMPORTRANGE(""https://docs.google.com/spreadsheets/d/1SX6NBoVAgQJ6U1MVXOaj8PK2l7WJ3RER9xtqwdhxkhw/edit?usp=sharing"",""เพชรบุรี!I370"")"),0)</f>
        <v>0</v>
      </c>
      <c r="J475" s="189">
        <f ca="1">IFERROR(__xludf.DUMMYFUNCTION("IMPORTRANGE(""https://docs.google.com/spreadsheets/d/1SX6NBoVAgQJ6U1MVXOaj8PK2l7WJ3RER9xtqwdhxkhw/edit?usp=sharing"",""เพชรบุรี!J370"")"),2042)</f>
        <v>2042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IFERROR(__xludf.DUMMYFUNCTION("IMPORTRANGE(""https://docs.google.com/spreadsheets/d/1SX6NBoVAgQJ6U1MVXOaj8PK2l7WJ3RER9xtqwdhxkhw/edit?usp=sharing"",""เพชรบุรี!I371"")"),0)</f>
        <v>0</v>
      </c>
      <c r="J476" s="189">
        <f ca="1">IFERROR(__xludf.DUMMYFUNCTION("IMPORTRANGE(""https://docs.google.com/spreadsheets/d/1SX6NBoVAgQJ6U1MVXOaj8PK2l7WJ3RER9xtqwdhxkhw/edit?usp=sharing"",""เพชรบุรี!J371"")"),272)</f>
        <v>272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IFERROR(__xludf.DUMMYFUNCTION("IMPORTRANGE(""https://docs.google.com/spreadsheets/d/1SX6NBoVAgQJ6U1MVXOaj8PK2l7WJ3RER9xtqwdhxkhw/edit?usp=sharing"",""เพชรบุรี!I372"")"),0)</f>
        <v>0</v>
      </c>
      <c r="J477" s="189">
        <f ca="1">IFERROR(__xludf.DUMMYFUNCTION("IMPORTRANGE(""https://docs.google.com/spreadsheets/d/1SX6NBoVAgQJ6U1MVXOaj8PK2l7WJ3RER9xtqwdhxkhw/edit?usp=sharing"",""เพชรบุรี!J372"")"),301)</f>
        <v>301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IFERROR(__xludf.DUMMYFUNCTION("IMPORTRANGE(""https://docs.google.com/spreadsheets/d/1SX6NBoVAgQJ6U1MVXOaj8PK2l7WJ3RER9xtqwdhxkhw/edit?usp=sharing"",""เพชรบุรี!I373"")"),0)</f>
        <v>0</v>
      </c>
      <c r="J478" s="189">
        <f ca="1">IFERROR(__xludf.DUMMYFUNCTION("IMPORTRANGE(""https://docs.google.com/spreadsheets/d/1SX6NBoVAgQJ6U1MVXOaj8PK2l7WJ3RER9xtqwdhxkhw/edit?usp=sharing"",""เพชรบุรี!J373"")"),36)</f>
        <v>36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IFERROR(__xludf.DUMMYFUNCTION("IMPORTRANGE(""https://docs.google.com/spreadsheets/d/1SX6NBoVAgQJ6U1MVXOaj8PK2l7WJ3RER9xtqwdhxkhw/edit?usp=sharing"",""เพชรบุรี!I374"")"),0)</f>
        <v>0</v>
      </c>
      <c r="J479" s="189">
        <f ca="1">IFERROR(__xludf.DUMMYFUNCTION("IMPORTRANGE(""https://docs.google.com/spreadsheets/d/1SX6NBoVAgQJ6U1MVXOaj8PK2l7WJ3RER9xtqwdhxkhw/edit?usp=sharing"",""เพชรบุรี!J374"")"),16)</f>
        <v>16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IFERROR(__xludf.DUMMYFUNCTION("IMPORTRANGE(""https://docs.google.com/spreadsheets/d/1SX6NBoVAgQJ6U1MVXOaj8PK2l7WJ3RER9xtqwdhxkhw/edit?usp=sharing"",""เพชรบุรี!I375"")"),0)</f>
        <v>0</v>
      </c>
      <c r="J480" s="189">
        <f ca="1">IFERROR(__xludf.DUMMYFUNCTION("IMPORTRANGE(""https://docs.google.com/spreadsheets/d/1SX6NBoVAgQJ6U1MVXOaj8PK2l7WJ3RER9xtqwdhxkhw/edit?usp=sharing"",""เพชรบุรี!J375"")"),3)</f>
        <v>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IFERROR(__xludf.DUMMYFUNCTION("IMPORTRANGE(""https://docs.google.com/spreadsheets/d/1SX6NBoVAgQJ6U1MVXOaj8PK2l7WJ3RER9xtqwdhxkhw/edit?usp=sharing"",""เพชรบุรี!I376"")"),2359)</f>
        <v>2359</v>
      </c>
      <c r="J481" s="420">
        <f ca="1">IFERROR(__xludf.DUMMYFUNCTION("IMPORTRANGE(""https://docs.google.com/spreadsheets/d/1SX6NBoVAgQJ6U1MVXOaj8PK2l7WJ3RER9xtqwdhxkhw/edit?usp=sharing"",""เพชรบุรี!J376"")"),2359)</f>
        <v>2359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IFERROR(__xludf.DUMMYFUNCTION("IMPORTRANGE(""https://docs.google.com/spreadsheets/d/1SX6NBoVAgQJ6U1MVXOaj8PK2l7WJ3RER9xtqwdhxkhw/edit?usp=sharing"",""เพชรบุรี!I377"")"),311)</f>
        <v>311</v>
      </c>
      <c r="J482" s="420">
        <f ca="1">IFERROR(__xludf.DUMMYFUNCTION("IMPORTRANGE(""https://docs.google.com/spreadsheets/d/1SX6NBoVAgQJ6U1MVXOaj8PK2l7WJ3RER9xtqwdhxkhw/edit?usp=sharing"",""เพชรบุรี!J377"")"),311)</f>
        <v>311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IFERROR(__xludf.DUMMYFUNCTION("IMPORTRANGE(""https://docs.google.com/spreadsheets/d/1SX6NBoVAgQJ6U1MVXOaj8PK2l7WJ3RER9xtqwdhxkhw/edit?usp=sharing"",""เพชรบุรี!I378"")"),0)</f>
        <v>0</v>
      </c>
      <c r="J483" s="189">
        <f ca="1">IFERROR(__xludf.DUMMYFUNCTION("IMPORTRANGE(""https://docs.google.com/spreadsheets/d/1SX6NBoVAgQJ6U1MVXOaj8PK2l7WJ3RER9xtqwdhxkhw/edit?usp=sharing"",""เพชรบุรี!J378"")"),2149)</f>
        <v>2149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IFERROR(__xludf.DUMMYFUNCTION("IMPORTRANGE(""https://docs.google.com/spreadsheets/d/1SX6NBoVAgQJ6U1MVXOaj8PK2l7WJ3RER9xtqwdhxkhw/edit?usp=sharing"",""เพชรบุรี!I379"")"),0)</f>
        <v>0</v>
      </c>
      <c r="J484" s="189">
        <f ca="1">IFERROR(__xludf.DUMMYFUNCTION("IMPORTRANGE(""https://docs.google.com/spreadsheets/d/1SX6NBoVAgQJ6U1MVXOaj8PK2l7WJ3RER9xtqwdhxkhw/edit?usp=sharing"",""เพชรบุรี!J379"")"),286)</f>
        <v>286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IFERROR(__xludf.DUMMYFUNCTION("IMPORTRANGE(""https://docs.google.com/spreadsheets/d/1SX6NBoVAgQJ6U1MVXOaj8PK2l7WJ3RER9xtqwdhxkhw/edit?usp=sharing"",""เพชรบุรี!I380"")"),0)</f>
        <v>0</v>
      </c>
      <c r="J485" s="189">
        <f ca="1">IFERROR(__xludf.DUMMYFUNCTION("IMPORTRANGE(""https://docs.google.com/spreadsheets/d/1SX6NBoVAgQJ6U1MVXOaj8PK2l7WJ3RER9xtqwdhxkhw/edit?usp=sharing"",""เพชรบุรี!J380"")"),0)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IFERROR(__xludf.DUMMYFUNCTION("IMPORTRANGE(""https://docs.google.com/spreadsheets/d/1SX6NBoVAgQJ6U1MVXOaj8PK2l7WJ3RER9xtqwdhxkhw/edit?usp=sharing"",""เพชรบุรี!I381"")"),0)</f>
        <v>0</v>
      </c>
      <c r="J486" s="189">
        <f ca="1">IFERROR(__xludf.DUMMYFUNCTION("IMPORTRANGE(""https://docs.google.com/spreadsheets/d/1SX6NBoVAgQJ6U1MVXOaj8PK2l7WJ3RER9xtqwdhxkhw/edit?usp=sharing"",""เพชรบุรี!J381"")"),0)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IFERROR(__xludf.DUMMYFUNCTION("IMPORTRANGE(""https://docs.google.com/spreadsheets/d/1SX6NBoVAgQJ6U1MVXOaj8PK2l7WJ3RER9xtqwdhxkhw/edit?usp=sharing"",""เพชรบุรี!I382"")"),0)</f>
        <v>0</v>
      </c>
      <c r="J487" s="420">
        <f ca="1">IFERROR(__xludf.DUMMYFUNCTION("IMPORTRANGE(""https://docs.google.com/spreadsheets/d/1SX6NBoVAgQJ6U1MVXOaj8PK2l7WJ3RER9xtqwdhxkhw/edit?usp=sharing"",""เพชรบุรี!J382"")"),21)</f>
        <v>21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IFERROR(__xludf.DUMMYFUNCTION("IMPORTRANGE(""https://docs.google.com/spreadsheets/d/1SX6NBoVAgQJ6U1MVXOaj8PK2l7WJ3RER9xtqwdhxkhw/edit?usp=sharing"",""เพชรบุรี!I383"")"),0)</f>
        <v>0</v>
      </c>
      <c r="J488" s="420">
        <f ca="1">IFERROR(__xludf.DUMMYFUNCTION("IMPORTRANGE(""https://docs.google.com/spreadsheets/d/1SX6NBoVAgQJ6U1MVXOaj8PK2l7WJ3RER9xtqwdhxkhw/edit?usp=sharing"",""เพชรบุรี!J383"")"),4)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IFERROR(__xludf.DUMMYFUNCTION("IMPORTRANGE(""https://docs.google.com/spreadsheets/d/1SX6NBoVAgQJ6U1MVXOaj8PK2l7WJ3RER9xtqwdhxkhw/edit?usp=sharing"",""เพชรบุรี!I384"")"),0)</f>
        <v>0</v>
      </c>
      <c r="J489" s="189">
        <f ca="1">IFERROR(__xludf.DUMMYFUNCTION("IMPORTRANGE(""https://docs.google.com/spreadsheets/d/1SX6NBoVAgQJ6U1MVXOaj8PK2l7WJ3RER9xtqwdhxkhw/edit?usp=sharing"",""เพชรบุรี!J384"")"),21)</f>
        <v>21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IFERROR(__xludf.DUMMYFUNCTION("IMPORTRANGE(""https://docs.google.com/spreadsheets/d/1SX6NBoVAgQJ6U1MVXOaj8PK2l7WJ3RER9xtqwdhxkhw/edit?usp=sharing"",""เพชรบุรี!I385"")"),0)</f>
        <v>0</v>
      </c>
      <c r="J490" s="189">
        <f ca="1">IFERROR(__xludf.DUMMYFUNCTION("IMPORTRANGE(""https://docs.google.com/spreadsheets/d/1SX6NBoVAgQJ6U1MVXOaj8PK2l7WJ3RER9xtqwdhxkhw/edit?usp=sharing"",""เพชรบุรี!J385"")"),4)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IFERROR(__xludf.DUMMYFUNCTION("IMPORTRANGE(""https://docs.google.com/spreadsheets/d/1SX6NBoVAgQJ6U1MVXOaj8PK2l7WJ3RER9xtqwdhxkhw/edit?usp=sharing"",""เพชรบุรี!I386"")"),0)</f>
        <v>0</v>
      </c>
      <c r="J491" s="189">
        <f ca="1">IFERROR(__xludf.DUMMYFUNCTION("IMPORTRANGE(""https://docs.google.com/spreadsheets/d/1SX6NBoVAgQJ6U1MVXOaj8PK2l7WJ3RER9xtqwdhxkhw/edit?usp=sharing"",""เพชรบุรี!J386"")"),0)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IFERROR(__xludf.DUMMYFUNCTION("IMPORTRANGE(""https://docs.google.com/spreadsheets/d/1SX6NBoVAgQJ6U1MVXOaj8PK2l7WJ3RER9xtqwdhxkhw/edit?usp=sharing"",""เพชรบุรี!I387"")"),0)</f>
        <v>0</v>
      </c>
      <c r="J492" s="189">
        <f ca="1">IFERROR(__xludf.DUMMYFUNCTION("IMPORTRANGE(""https://docs.google.com/spreadsheets/d/1SX6NBoVAgQJ6U1MVXOaj8PK2l7WJ3RER9xtqwdhxkhw/edit?usp=sharing"",""เพชรบุรี!J387"")"),0)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IFERROR(__xludf.DUMMYFUNCTION("IMPORTRANGE(""https://docs.google.com/spreadsheets/d/1SX6NBoVAgQJ6U1MVXOaj8PK2l7WJ3RER9xtqwdhxkhw/edit?usp=sharing"",""เพชรบุรี!I388"")"),0)</f>
        <v>0</v>
      </c>
      <c r="J493" s="189">
        <f ca="1">IFERROR(__xludf.DUMMYFUNCTION("IMPORTRANGE(""https://docs.google.com/spreadsheets/d/1SX6NBoVAgQJ6U1MVXOaj8PK2l7WJ3RER9xtqwdhxkhw/edit?usp=sharing"",""เพชรบุรี!J388"")"),189)</f>
        <v>189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IFERROR(__xludf.DUMMYFUNCTION("IMPORTRANGE(""https://docs.google.com/spreadsheets/d/1SX6NBoVAgQJ6U1MVXOaj8PK2l7WJ3RER9xtqwdhxkhw/edit?usp=sharing"",""เพชรบุรี!I389"")"),0)</f>
        <v>0</v>
      </c>
      <c r="J494" s="436">
        <f ca="1">IFERROR(__xludf.DUMMYFUNCTION("IMPORTRANGE(""https://docs.google.com/spreadsheets/d/1SX6NBoVAgQJ6U1MVXOaj8PK2l7WJ3RER9xtqwdhxkhw/edit?usp=sharing"",""เพชรบุรี!J389"")"),21)</f>
        <v>21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IFERROR(__xludf.DUMMYFUNCTION("IMPORTRANGE(""https://docs.google.com/spreadsheets/d/1SX6NBoVAgQJ6U1MVXOaj8PK2l7WJ3RER9xtqwdhxkhw/edit?usp=sharing"",""เพชรบุรี!I390"")"),0)</f>
        <v>0</v>
      </c>
      <c r="J495" s="436">
        <f ca="1">IFERROR(__xludf.DUMMYFUNCTION("IMPORTRANGE(""https://docs.google.com/spreadsheets/d/1SX6NBoVAgQJ6U1MVXOaj8PK2l7WJ3RER9xtqwdhxkhw/edit?usp=sharing"",""เพชรบุรี!J390"")"),0)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IFERROR(__xludf.DUMMYFUNCTION("IMPORTRANGE(""https://docs.google.com/spreadsheets/d/1SX6NBoVAgQJ6U1MVXOaj8PK2l7WJ3RER9xtqwdhxkhw/edit?usp=sharing"",""เพชรบุรี!I391"")"),0)</f>
        <v>0</v>
      </c>
      <c r="J496" s="436">
        <f ca="1">IFERROR(__xludf.DUMMYFUNCTION("IMPORTRANGE(""https://docs.google.com/spreadsheets/d/1SX6NBoVAgQJ6U1MVXOaj8PK2l7WJ3RER9xtqwdhxkhw/edit?usp=sharing"",""เพชรบุรี!J391"")"),0)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IFERROR(__xludf.DUMMYFUNCTION("IMPORTRANGE(""https://docs.google.com/spreadsheets/d/1SX6NBoVAgQJ6U1MVXOaj8PK2l7WJ3RER9xtqwdhxkhw/edit?usp=sharing"",""เพชรบุรี!I392"")"),533)</f>
        <v>533</v>
      </c>
      <c r="J497" s="443">
        <f ca="1">IFERROR(__xludf.DUMMYFUNCTION("IMPORTRANGE(""https://docs.google.com/spreadsheets/d/1SX6NBoVAgQJ6U1MVXOaj8PK2l7WJ3RER9xtqwdhxkhw/edit?usp=sharing"",""เพชรบุรี!J392"")"),534)</f>
        <v>534</v>
      </c>
      <c r="K497" s="444">
        <f t="shared" ca="1" si="117"/>
        <v>100.18761726078799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IFERROR(__xludf.DUMMYFUNCTION("IMPORTRANGE(""https://docs.google.com/spreadsheets/d/1SX6NBoVAgQJ6U1MVXOaj8PK2l7WJ3RER9xtqwdhxkhw/edit?usp=sharing"",""เพชรบุรี!I393"")"),533)</f>
        <v>533</v>
      </c>
      <c r="J498" s="420">
        <f ca="1">IFERROR(__xludf.DUMMYFUNCTION("IMPORTRANGE(""https://docs.google.com/spreadsheets/d/1SX6NBoVAgQJ6U1MVXOaj8PK2l7WJ3RER9xtqwdhxkhw/edit?usp=sharing"",""เพชรบุรี!J393"")"),534)</f>
        <v>534</v>
      </c>
      <c r="K498" s="202">
        <f t="shared" ca="1" si="117"/>
        <v>100.18761726078799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IFERROR(__xludf.DUMMYFUNCTION("IMPORTRANGE(""https://docs.google.com/spreadsheets/d/1SX6NBoVAgQJ6U1MVXOaj8PK2l7WJ3RER9xtqwdhxkhw/edit?usp=sharing"",""เพชรบุรี!I394"")"),136)</f>
        <v>136</v>
      </c>
      <c r="J499" s="420">
        <f ca="1">IFERROR(__xludf.DUMMYFUNCTION("IMPORTRANGE(""https://docs.google.com/spreadsheets/d/1SX6NBoVAgQJ6U1MVXOaj8PK2l7WJ3RER9xtqwdhxkhw/edit?usp=sharing"",""เพชรบุรี!J394"")"),136)</f>
        <v>136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IFERROR(__xludf.DUMMYFUNCTION("IMPORTRANGE(""https://docs.google.com/spreadsheets/d/1SX6NBoVAgQJ6U1MVXOaj8PK2l7WJ3RER9xtqwdhxkhw/edit?usp=sharing"",""เพชรบุรี!I395"")"),0)</f>
        <v>0</v>
      </c>
      <c r="J500" s="162">
        <f ca="1">IFERROR(__xludf.DUMMYFUNCTION("IMPORTRANGE(""https://docs.google.com/spreadsheets/d/1SX6NBoVAgQJ6U1MVXOaj8PK2l7WJ3RER9xtqwdhxkhw/edit?usp=sharing"",""เพชรบุรี!J395"")"),29)</f>
        <v>29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IFERROR(__xludf.DUMMYFUNCTION("IMPORTRANGE(""https://docs.google.com/spreadsheets/d/1SX6NBoVAgQJ6U1MVXOaj8PK2l7WJ3RER9xtqwdhxkhw/edit?usp=sharing"",""เพชรบุรี!I396"")"),0)</f>
        <v>0</v>
      </c>
      <c r="J501" s="162">
        <f ca="1">IFERROR(__xludf.DUMMYFUNCTION("IMPORTRANGE(""https://docs.google.com/spreadsheets/d/1SX6NBoVAgQJ6U1MVXOaj8PK2l7WJ3RER9xtqwdhxkhw/edit?usp=sharing"",""เพชรบุรี!J396"")"),32)</f>
        <v>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IFERROR(__xludf.DUMMYFUNCTION("IMPORTRANGE(""https://docs.google.com/spreadsheets/d/1SX6NBoVAgQJ6U1MVXOaj8PK2l7WJ3RER9xtqwdhxkhw/edit?usp=sharing"",""เพชรบุรี!I397"")"),0)</f>
        <v>0</v>
      </c>
      <c r="J502" s="189">
        <f ca="1">IFERROR(__xludf.DUMMYFUNCTION("IMPORTRANGE(""https://docs.google.com/spreadsheets/d/1SX6NBoVAgQJ6U1MVXOaj8PK2l7WJ3RER9xtqwdhxkhw/edit?usp=sharing"",""เพชรบุรี!J397"")"),1)</f>
        <v>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IFERROR(__xludf.DUMMYFUNCTION("IMPORTRANGE(""https://docs.google.com/spreadsheets/d/1SX6NBoVAgQJ6U1MVXOaj8PK2l7WJ3RER9xtqwdhxkhw/edit?usp=sharing"",""เพชรบุรี!I398"")"),0)</f>
        <v>0</v>
      </c>
      <c r="J503" s="198">
        <f ca="1">IFERROR(__xludf.DUMMYFUNCTION("IMPORTRANGE(""https://docs.google.com/spreadsheets/d/1SX6NBoVAgQJ6U1MVXOaj8PK2l7WJ3RER9xtqwdhxkhw/edit?usp=sharing"",""เพชรบุรี!J398"")"),1)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IFERROR(__xludf.DUMMYFUNCTION("IMPORTRANGE(""https://docs.google.com/spreadsheets/d/1SX6NBoVAgQJ6U1MVXOaj8PK2l7WJ3RER9xtqwdhxkhw/edit?usp=sharing"",""เพชรบุรี!I399"")"),0)</f>
        <v>0</v>
      </c>
      <c r="J504" s="189">
        <f ca="1">IFERROR(__xludf.DUMMYFUNCTION("IMPORTRANGE(""https://docs.google.com/spreadsheets/d/1SX6NBoVAgQJ6U1MVXOaj8PK2l7WJ3RER9xtqwdhxkhw/edit?usp=sharing"",""เพชรบุรี!J399"")"),28)</f>
        <v>28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IFERROR(__xludf.DUMMYFUNCTION("IMPORTRANGE(""https://docs.google.com/spreadsheets/d/1SX6NBoVAgQJ6U1MVXOaj8PK2l7WJ3RER9xtqwdhxkhw/edit?usp=sharing"",""เพชรบุรี!I400"")"),0)</f>
        <v>0</v>
      </c>
      <c r="J505" s="198">
        <f ca="1">IFERROR(__xludf.DUMMYFUNCTION("IMPORTRANGE(""https://docs.google.com/spreadsheets/d/1SX6NBoVAgQJ6U1MVXOaj8PK2l7WJ3RER9xtqwdhxkhw/edit?usp=sharing"",""เพชรบุรี!J400"")"),31)</f>
        <v>31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IFERROR(__xludf.DUMMYFUNCTION("IMPORTRANGE(""https://docs.google.com/spreadsheets/d/1SX6NBoVAgQJ6U1MVXOaj8PK2l7WJ3RER9xtqwdhxkhw/edit?usp=sharing"",""เพชรบุรี!I401"")"),0)</f>
        <v>0</v>
      </c>
      <c r="J506" s="189">
        <f ca="1">IFERROR(__xludf.DUMMYFUNCTION("IMPORTRANGE(""https://docs.google.com/spreadsheets/d/1SX6NBoVAgQJ6U1MVXOaj8PK2l7WJ3RER9xtqwdhxkhw/edit?usp=sharing"",""เพชรบุรี!J401"")"),0)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IFERROR(__xludf.DUMMYFUNCTION("IMPORTRANGE(""https://docs.google.com/spreadsheets/d/1SX6NBoVAgQJ6U1MVXOaj8PK2l7WJ3RER9xtqwdhxkhw/edit?usp=sharing"",""เพชรบุรี!I402"")"),0)</f>
        <v>0</v>
      </c>
      <c r="J507" s="198">
        <f ca="1">IFERROR(__xludf.DUMMYFUNCTION("IMPORTRANGE(""https://docs.google.com/spreadsheets/d/1SX6NBoVAgQJ6U1MVXOaj8PK2l7WJ3RER9xtqwdhxkhw/edit?usp=sharing"",""เพชรบุรี!J402"")"),0)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IFERROR(__xludf.DUMMYFUNCTION("IMPORTRANGE(""https://docs.google.com/spreadsheets/d/1SX6NBoVAgQJ6U1MVXOaj8PK2l7WJ3RER9xtqwdhxkhw/edit?usp=sharing"",""เพชรบุรี!I403"")"),0)</f>
        <v>0</v>
      </c>
      <c r="J508" s="162">
        <f ca="1">IFERROR(__xludf.DUMMYFUNCTION("IMPORTRANGE(""https://docs.google.com/spreadsheets/d/1SX6NBoVAgQJ6U1MVXOaj8PK2l7WJ3RER9xtqwdhxkhw/edit?usp=sharing"",""เพชรบุรี!J403"")"),0)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IFERROR(__xludf.DUMMYFUNCTION("IMPORTRANGE(""https://docs.google.com/spreadsheets/d/1SX6NBoVAgQJ6U1MVXOaj8PK2l7WJ3RER9xtqwdhxkhw/edit?usp=sharing"",""เพชรบุรี!I404"")"),0)</f>
        <v>0</v>
      </c>
      <c r="J509" s="162">
        <f ca="1">IFERROR(__xludf.DUMMYFUNCTION("IMPORTRANGE(""https://docs.google.com/spreadsheets/d/1SX6NBoVAgQJ6U1MVXOaj8PK2l7WJ3RER9xtqwdhxkhw/edit?usp=sharing"",""เพชรบุรี!J404"")"),0)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IFERROR(__xludf.DUMMYFUNCTION("IMPORTRANGE(""https://docs.google.com/spreadsheets/d/1SX6NBoVAgQJ6U1MVXOaj8PK2l7WJ3RER9xtqwdhxkhw/edit?usp=sharing"",""เพชรบุรี!I405"")"),0)</f>
        <v>0</v>
      </c>
      <c r="J510" s="198">
        <f ca="1">IFERROR(__xludf.DUMMYFUNCTION("IMPORTRANGE(""https://docs.google.com/spreadsheets/d/1SX6NBoVAgQJ6U1MVXOaj8PK2l7WJ3RER9xtqwdhxkhw/edit?usp=sharing"",""เพชรบุรี!J405"")"),0)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IFERROR(__xludf.DUMMYFUNCTION("IMPORTRANGE(""https://docs.google.com/spreadsheets/d/1SX6NBoVAgQJ6U1MVXOaj8PK2l7WJ3RER9xtqwdhxkhw/edit?usp=sharing"",""เพชรบุรี!I406"")"),0)</f>
        <v>0</v>
      </c>
      <c r="J511" s="198">
        <f ca="1">IFERROR(__xludf.DUMMYFUNCTION("IMPORTRANGE(""https://docs.google.com/spreadsheets/d/1SX6NBoVAgQJ6U1MVXOaj8PK2l7WJ3RER9xtqwdhxkhw/edit?usp=sharing"",""เพชรบุรี!J406"")"),0)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IFERROR(__xludf.DUMMYFUNCTION("IMPORTRANGE(""https://docs.google.com/spreadsheets/d/1SX6NBoVAgQJ6U1MVXOaj8PK2l7WJ3RER9xtqwdhxkhw/edit?usp=sharing"",""เพชรบุรี!I407"")"),0)</f>
        <v>0</v>
      </c>
      <c r="J512" s="198">
        <f ca="1">IFERROR(__xludf.DUMMYFUNCTION("IMPORTRANGE(""https://docs.google.com/spreadsheets/d/1SX6NBoVAgQJ6U1MVXOaj8PK2l7WJ3RER9xtqwdhxkhw/edit?usp=sharing"",""เพชรบุรี!J407"")"),0)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IFERROR(__xludf.DUMMYFUNCTION("IMPORTRANGE(""https://docs.google.com/spreadsheets/d/1SX6NBoVAgQJ6U1MVXOaj8PK2l7WJ3RER9xtqwdhxkhw/edit?usp=sharing"",""เพชรบุรี!I408"")"),0)</f>
        <v>0</v>
      </c>
      <c r="J513" s="198">
        <f ca="1">IFERROR(__xludf.DUMMYFUNCTION("IMPORTRANGE(""https://docs.google.com/spreadsheets/d/1SX6NBoVAgQJ6U1MVXOaj8PK2l7WJ3RER9xtqwdhxkhw/edit?usp=sharing"",""เพชรบุรี!J408"")"),0)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IFERROR(__xludf.DUMMYFUNCTION("IMPORTRANGE(""https://docs.google.com/spreadsheets/d/1SX6NBoVAgQJ6U1MVXOaj8PK2l7WJ3RER9xtqwdhxkhw/edit?usp=sharing"",""เพชรบุรี!I409"")"),0)</f>
        <v>0</v>
      </c>
      <c r="J514" s="198">
        <f ca="1">IFERROR(__xludf.DUMMYFUNCTION("IMPORTRANGE(""https://docs.google.com/spreadsheets/d/1SX6NBoVAgQJ6U1MVXOaj8PK2l7WJ3RER9xtqwdhxkhw/edit?usp=sharing"",""เพชรบุรี!J409"")"),505)</f>
        <v>505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IFERROR(__xludf.DUMMYFUNCTION("IMPORTRANGE(""https://docs.google.com/spreadsheets/d/1SX6NBoVAgQJ6U1MVXOaj8PK2l7WJ3RER9xtqwdhxkhw/edit?usp=sharing"",""เพชรบุรี!I410"")"),0)</f>
        <v>0</v>
      </c>
      <c r="J515" s="198">
        <f ca="1">IFERROR(__xludf.DUMMYFUNCTION("IMPORTRANGE(""https://docs.google.com/spreadsheets/d/1SX6NBoVAgQJ6U1MVXOaj8PK2l7WJ3RER9xtqwdhxkhw/edit?usp=sharing"",""เพชรบุรี!J410"")"),104)</f>
        <v>104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IFERROR(__xludf.DUMMYFUNCTION("IMPORTRANGE(""https://docs.google.com/spreadsheets/d/1SX6NBoVAgQJ6U1MVXOaj8PK2l7WJ3RER9xtqwdhxkhw/edit?usp=sharing"",""เพชรบุรี!I411"")"),0)</f>
        <v>0</v>
      </c>
      <c r="J516" s="268">
        <f ca="1">IFERROR(__xludf.DUMMYFUNCTION("IMPORTRANGE(""https://docs.google.com/spreadsheets/d/1SX6NBoVAgQJ6U1MVXOaj8PK2l7WJ3RER9xtqwdhxkhw/edit?usp=sharing"",""เพชรบุรี!J411"")"),0)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IFERROR(__xludf.DUMMYFUNCTION("IMPORTRANGE(""https://docs.google.com/spreadsheets/d/1SX6NBoVAgQJ6U1MVXOaj8PK2l7WJ3RER9xtqwdhxkhw/edit?usp=sharing"",""เพชรบุรี!I412"")"),0)</f>
        <v>0</v>
      </c>
      <c r="J517" s="285">
        <f ca="1">IFERROR(__xludf.DUMMYFUNCTION("IMPORTRANGE(""https://docs.google.com/spreadsheets/d/1SX6NBoVAgQJ6U1MVXOaj8PK2l7WJ3RER9xtqwdhxkhw/edit?usp=sharing"",""เพชรบุรี!J412"")"),0)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IFERROR(__xludf.DUMMYFUNCTION("IMPORTRANGE(""https://docs.google.com/spreadsheets/d/1SX6NBoVAgQJ6U1MVXOaj8PK2l7WJ3RER9xtqwdhxkhw/edit?usp=sharing"",""เพชรบุรี!I413"")"),0)</f>
        <v>0</v>
      </c>
      <c r="J518" s="285">
        <f ca="1">IFERROR(__xludf.DUMMYFUNCTION("IMPORTRANGE(""https://docs.google.com/spreadsheets/d/1SX6NBoVAgQJ6U1MVXOaj8PK2l7WJ3RER9xtqwdhxkhw/edit?usp=sharing"",""เพชรบุรี!J413"")"),0)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IFERROR(__xludf.DUMMYFUNCTION("IMPORTRANGE(""https://docs.google.com/spreadsheets/d/1SX6NBoVAgQJ6U1MVXOaj8PK2l7WJ3RER9xtqwdhxkhw/edit?usp=sharing"",""เพชรบุรี!I414"")"),0)</f>
        <v>0</v>
      </c>
      <c r="J519" s="188">
        <f ca="1">IFERROR(__xludf.DUMMYFUNCTION("IMPORTRANGE(""https://docs.google.com/spreadsheets/d/1SX6NBoVAgQJ6U1MVXOaj8PK2l7WJ3RER9xtqwdhxkhw/edit?usp=sharing"",""เพชรบุรี!J414"")"),0)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IFERROR(__xludf.DUMMYFUNCTION("IMPORTRANGE(""https://docs.google.com/spreadsheets/d/1SX6NBoVAgQJ6U1MVXOaj8PK2l7WJ3RER9xtqwdhxkhw/edit?usp=sharing"",""เพชรบุรี!I415"")"),0)</f>
        <v>0</v>
      </c>
      <c r="J520" s="188">
        <f ca="1">IFERROR(__xludf.DUMMYFUNCTION("IMPORTRANGE(""https://docs.google.com/spreadsheets/d/1SX6NBoVAgQJ6U1MVXOaj8PK2l7WJ3RER9xtqwdhxkhw/edit?usp=sharing"",""เพชรบุรี!J415"")"),0)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IFERROR(__xludf.DUMMYFUNCTION("IMPORTRANGE(""https://docs.google.com/spreadsheets/d/1SX6NBoVAgQJ6U1MVXOaj8PK2l7WJ3RER9xtqwdhxkhw/edit?usp=sharing"",""เพชรบุรี!I416"")"),0)</f>
        <v>0</v>
      </c>
      <c r="J521" s="188">
        <f ca="1">IFERROR(__xludf.DUMMYFUNCTION("IMPORTRANGE(""https://docs.google.com/spreadsheets/d/1SX6NBoVAgQJ6U1MVXOaj8PK2l7WJ3RER9xtqwdhxkhw/edit?usp=sharing"",""เพชรบุรี!J416"")"),0)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IFERROR(__xludf.DUMMYFUNCTION("IMPORTRANGE(""https://docs.google.com/spreadsheets/d/1SX6NBoVAgQJ6U1MVXOaj8PK2l7WJ3RER9xtqwdhxkhw/edit?usp=sharing"",""เพชรบุรี!I417"")"),0)</f>
        <v>0</v>
      </c>
      <c r="J522" s="188">
        <f ca="1">IFERROR(__xludf.DUMMYFUNCTION("IMPORTRANGE(""https://docs.google.com/spreadsheets/d/1SX6NBoVAgQJ6U1MVXOaj8PK2l7WJ3RER9xtqwdhxkhw/edit?usp=sharing"",""เพชรบุรี!J417"")"),0)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IFERROR(__xludf.DUMMYFUNCTION("IMPORTRANGE(""https://docs.google.com/spreadsheets/d/1SX6NBoVAgQJ6U1MVXOaj8PK2l7WJ3RER9xtqwdhxkhw/edit?usp=sharing"",""เพชรบุรี!I418"")"),0)</f>
        <v>0</v>
      </c>
      <c r="J523" s="188">
        <f ca="1">IFERROR(__xludf.DUMMYFUNCTION("IMPORTRANGE(""https://docs.google.com/spreadsheets/d/1SX6NBoVAgQJ6U1MVXOaj8PK2l7WJ3RER9xtqwdhxkhw/edit?usp=sharing"",""เพชรบุรี!J418"")"),0)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IFERROR(__xludf.DUMMYFUNCTION("IMPORTRANGE(""https://docs.google.com/spreadsheets/d/1SX6NBoVAgQJ6U1MVXOaj8PK2l7WJ3RER9xtqwdhxkhw/edit?usp=sharing"",""เพชรบุรี!I419"")"),0)</f>
        <v>0</v>
      </c>
      <c r="J524" s="188">
        <f ca="1">IFERROR(__xludf.DUMMYFUNCTION("IMPORTRANGE(""https://docs.google.com/spreadsheets/d/1SX6NBoVAgQJ6U1MVXOaj8PK2l7WJ3RER9xtqwdhxkhw/edit?usp=sharing"",""เพชรบุรี!J419"")"),0)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IFERROR(__xludf.DUMMYFUNCTION("IMPORTRANGE(""https://docs.google.com/spreadsheets/d/1SX6NBoVAgQJ6U1MVXOaj8PK2l7WJ3RER9xtqwdhxkhw/edit?usp=sharing"",""เพชรบุรี!I420"")"),0)</f>
        <v>0</v>
      </c>
      <c r="J525" s="285">
        <f ca="1">IFERROR(__xludf.DUMMYFUNCTION("IMPORTRANGE(""https://docs.google.com/spreadsheets/d/1SX6NBoVAgQJ6U1MVXOaj8PK2l7WJ3RER9xtqwdhxkhw/edit?usp=sharing"",""เพชรบุรี!J420"")"),0)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IFERROR(__xludf.DUMMYFUNCTION("IMPORTRANGE(""https://docs.google.com/spreadsheets/d/1SX6NBoVAgQJ6U1MVXOaj8PK2l7WJ3RER9xtqwdhxkhw/edit?usp=sharing"",""เพชรบุรี!I421"")"),0)</f>
        <v>0</v>
      </c>
      <c r="J526" s="285">
        <f ca="1">IFERROR(__xludf.DUMMYFUNCTION("IMPORTRANGE(""https://docs.google.com/spreadsheets/d/1SX6NBoVAgQJ6U1MVXOaj8PK2l7WJ3RER9xtqwdhxkhw/edit?usp=sharing"",""เพชรบุรี!J421"")"),0)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IFERROR(__xludf.DUMMYFUNCTION("IMPORTRANGE(""https://docs.google.com/spreadsheets/d/1SX6NBoVAgQJ6U1MVXOaj8PK2l7WJ3RER9xtqwdhxkhw/edit?usp=sharing"",""เพชรบุรี!I422"")"),0)</f>
        <v>0</v>
      </c>
      <c r="J527" s="198">
        <f ca="1">IFERROR(__xludf.DUMMYFUNCTION("IMPORTRANGE(""https://docs.google.com/spreadsheets/d/1SX6NBoVAgQJ6U1MVXOaj8PK2l7WJ3RER9xtqwdhxkhw/edit?usp=sharing"",""เพชรบุรี!J422"")"),0)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IFERROR(__xludf.DUMMYFUNCTION("IMPORTRANGE(""https://docs.google.com/spreadsheets/d/1SX6NBoVAgQJ6U1MVXOaj8PK2l7WJ3RER9xtqwdhxkhw/edit?usp=sharing"",""เพชรบุรี!I423"")"),0)</f>
        <v>0</v>
      </c>
      <c r="J528" s="198">
        <f ca="1">IFERROR(__xludf.DUMMYFUNCTION("IMPORTRANGE(""https://docs.google.com/spreadsheets/d/1SX6NBoVAgQJ6U1MVXOaj8PK2l7WJ3RER9xtqwdhxkhw/edit?usp=sharing"",""เพชรบุรี!J423"")"),0)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IFERROR(__xludf.DUMMYFUNCTION("IMPORTRANGE(""https://docs.google.com/spreadsheets/d/1SX6NBoVAgQJ6U1MVXOaj8PK2l7WJ3RER9xtqwdhxkhw/edit?usp=sharing"",""เพชรบุรี!I424"")"),0)</f>
        <v>0</v>
      </c>
      <c r="J529" s="198">
        <f ca="1">IFERROR(__xludf.DUMMYFUNCTION("IMPORTRANGE(""https://docs.google.com/spreadsheets/d/1SX6NBoVAgQJ6U1MVXOaj8PK2l7WJ3RER9xtqwdhxkhw/edit?usp=sharing"",""เพชรบุรี!J424"")"),0)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IFERROR(__xludf.DUMMYFUNCTION("IMPORTRANGE(""https://docs.google.com/spreadsheets/d/1SX6NBoVAgQJ6U1MVXOaj8PK2l7WJ3RER9xtqwdhxkhw/edit?usp=sharing"",""เพชรบุรี!I425"")"),0)</f>
        <v>0</v>
      </c>
      <c r="J530" s="198">
        <f ca="1">IFERROR(__xludf.DUMMYFUNCTION("IMPORTRANGE(""https://docs.google.com/spreadsheets/d/1SX6NBoVAgQJ6U1MVXOaj8PK2l7WJ3RER9xtqwdhxkhw/edit?usp=sharing"",""เพชรบุรี!J425"")"),0)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IFERROR(__xludf.DUMMYFUNCTION("IMPORTRANGE(""https://docs.google.com/spreadsheets/d/1SX6NBoVAgQJ6U1MVXOaj8PK2l7WJ3RER9xtqwdhxkhw/edit?usp=sharing"",""เพชรบุรี!I426"")"),0)</f>
        <v>0</v>
      </c>
      <c r="J531" s="198">
        <f ca="1">IFERROR(__xludf.DUMMYFUNCTION("IMPORTRANGE(""https://docs.google.com/spreadsheets/d/1SX6NBoVAgQJ6U1MVXOaj8PK2l7WJ3RER9xtqwdhxkhw/edit?usp=sharing"",""เพชรบุรี!J426"")"),0)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IFERROR(__xludf.DUMMYFUNCTION("IMPORTRANGE(""https://docs.google.com/spreadsheets/d/1SX6NBoVAgQJ6U1MVXOaj8PK2l7WJ3RER9xtqwdhxkhw/edit?usp=sharing"",""เพชรบุรี!I427"")"),0)</f>
        <v>0</v>
      </c>
      <c r="J532" s="466">
        <f ca="1">IFERROR(__xludf.DUMMYFUNCTION("IMPORTRANGE(""https://docs.google.com/spreadsheets/d/1SX6NBoVAgQJ6U1MVXOaj8PK2l7WJ3RER9xtqwdhxkhw/edit?usp=sharing"",""เพชรบุรี!J427"")"),0)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IFERROR(__xludf.DUMMYFUNCTION("IMPORTRANGE(""https://docs.google.com/spreadsheets/d/1SX6NBoVAgQJ6U1MVXOaj8PK2l7WJ3RER9xtqwdhxkhw/edit?usp=sharing"",""เพชรบุรี!I428"")"),22)</f>
        <v>22</v>
      </c>
      <c r="J533" s="410">
        <f ca="1">IFERROR(__xludf.DUMMYFUNCTION("IMPORTRANGE(""https://docs.google.com/spreadsheets/d/1SX6NBoVAgQJ6U1MVXOaj8PK2l7WJ3RER9xtqwdhxkhw/edit?usp=sharing"",""เพชรบุรี!J428"")"),22)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IFERROR(__xludf.DUMMYFUNCTION("IMPORTRANGE(""https://docs.google.com/spreadsheets/d/1SX6NBoVAgQJ6U1MVXOaj8PK2l7WJ3RER9xtqwdhxkhw/edit?usp=sharing"",""เพชรบุรี!L428"")"),34340)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IFERROR(__xludf.DUMMYFUNCTION("IMPORTRANGE(""https://docs.google.com/spreadsheets/d/1SX6NBoVAgQJ6U1MVXOaj8PK2l7WJ3RER9xtqwdhxkhw/edit?usp=sharing"",""เพชรบุรี!M428"")"),20325)</f>
        <v>20325</v>
      </c>
      <c r="O533" s="412">
        <f t="shared" ref="O533:O537" ca="1" si="118">+IF(L533&gt;0,N533*100/L533,0)</f>
        <v>59.187536400698896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IFERROR(__xludf.DUMMYFUNCTION("IMPORTRANGE(""https://docs.google.com/spreadsheets/d/1SX6NBoVAgQJ6U1MVXOaj8PK2l7WJ3RER9xtqwdhxkhw/edit?usp=sharing"",""เพชรบุรี!L429"")"),0)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IFERROR(__xludf.DUMMYFUNCTION("IMPORTRANGE(""https://docs.google.com/spreadsheets/d/1SX6NBoVAgQJ6U1MVXOaj8PK2l7WJ3RER9xtqwdhxkhw/edit?usp=sharing"",""เพชรบุรี!M429"")"),0)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IFERROR(__xludf.DUMMYFUNCTION("IMPORTRANGE(""https://docs.google.com/spreadsheets/d/1SX6NBoVAgQJ6U1MVXOaj8PK2l7WJ3RER9xtqwdhxkhw/edit?usp=sharing"",""เพชรบุรี!L430"")"),34340)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IFERROR(__xludf.DUMMYFUNCTION("IMPORTRANGE(""https://docs.google.com/spreadsheets/d/1SX6NBoVAgQJ6U1MVXOaj8PK2l7WJ3RER9xtqwdhxkhw/edit?usp=sharing"",""เพชรบุรี!M430"")"),20325)</f>
        <v>20325</v>
      </c>
      <c r="O535" s="169">
        <f t="shared" ca="1" si="118"/>
        <v>59.187536400698896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IFERROR(__xludf.DUMMYFUNCTION("IMPORTRANGE(""https://docs.google.com/spreadsheets/d/1SX6NBoVAgQJ6U1MVXOaj8PK2l7WJ3RER9xtqwdhxkhw/edit?usp=sharing"",""เพชรบุรี!L431"")"),0)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IFERROR(__xludf.DUMMYFUNCTION("IMPORTRANGE(""https://docs.google.com/spreadsheets/d/1SX6NBoVAgQJ6U1MVXOaj8PK2l7WJ3RER9xtqwdhxkhw/edit?usp=sharing"",""เพชรบุรี!M431"")"),0)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IFERROR(__xludf.DUMMYFUNCTION("IMPORTRANGE(""https://docs.google.com/spreadsheets/d/1SX6NBoVAgQJ6U1MVXOaj8PK2l7WJ3RER9xtqwdhxkhw/edit?usp=sharing"",""เพชรบุรี!L432"")"),34340)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IFERROR(__xludf.DUMMYFUNCTION("IMPORTRANGE(""https://docs.google.com/spreadsheets/d/1SX6NBoVAgQJ6U1MVXOaj8PK2l7WJ3RER9xtqwdhxkhw/edit?usp=sharing"",""เพชรบุรี!M432"")"),20325)</f>
        <v>20325</v>
      </c>
      <c r="O537" s="169">
        <f t="shared" ca="1" si="118"/>
        <v>59.187536400698896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IFERROR(__xludf.DUMMYFUNCTION("IMPORTRANGE(""https://docs.google.com/spreadsheets/d/1SX6NBoVAgQJ6U1MVXOaj8PK2l7WJ3RER9xtqwdhxkhw/edit?usp=sharing"",""เพชรบุรี!M433"")"),20325)</f>
        <v>20325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IFERROR(__xludf.DUMMYFUNCTION("IMPORTRANGE(""https://docs.google.com/spreadsheets/d/1SX6NBoVAgQJ6U1MVXOaj8PK2l7WJ3RER9xtqwdhxkhw/edit?usp=sharing"",""เพชรบุรี!M434"")"),0)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IFERROR(__xludf.DUMMYFUNCTION("IMPORTRANGE(""https://docs.google.com/spreadsheets/d/1SX6NBoVAgQJ6U1MVXOaj8PK2l7WJ3RER9xtqwdhxkhw/edit?usp=sharing"",""เพชรบุรี!M435"")"),0)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IFERROR(__xludf.DUMMYFUNCTION("IMPORTRANGE(""https://docs.google.com/spreadsheets/d/1SX6NBoVAgQJ6U1MVXOaj8PK2l7WJ3RER9xtqwdhxkhw/edit?usp=sharing"",""เพชรบุรี!M436"")"),0)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IFERROR(__xludf.DUMMYFUNCTION("IMPORTRANGE(""https://docs.google.com/spreadsheets/d/1SX6NBoVAgQJ6U1MVXOaj8PK2l7WJ3RER9xtqwdhxkhw/edit?usp=sharing"",""เพชรบุรี!J438"")"),0)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IFERROR(__xludf.DUMMYFUNCTION("IMPORTRANGE(""https://docs.google.com/spreadsheets/d/1SX6NBoVAgQJ6U1MVXOaj8PK2l7WJ3RER9xtqwdhxkhw/edit?usp=sharing"",""เพชรบุรี!J439"")"),1)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IFERROR(__xludf.DUMMYFUNCTION("IMPORTRANGE(""https://docs.google.com/spreadsheets/d/1SX6NBoVAgQJ6U1MVXOaj8PK2l7WJ3RER9xtqwdhxkhw/edit?usp=sharing"",""เพชรบุรี!J440"")"),1)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IFERROR(__xludf.DUMMYFUNCTION("IMPORTRANGE(""https://docs.google.com/spreadsheets/d/1SX6NBoVAgQJ6U1MVXOaj8PK2l7WJ3RER9xtqwdhxkhw/edit?usp=sharing"",""เพชรบุรี!J441"")"),1)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IFERROR(__xludf.DUMMYFUNCTION("IMPORTRANGE(""https://docs.google.com/spreadsheets/d/1SX6NBoVAgQJ6U1MVXOaj8PK2l7WJ3RER9xtqwdhxkhw/edit?usp=sharing"",""เพชรบุรี!I442"")"),22)</f>
        <v>22</v>
      </c>
      <c r="J547" s="189">
        <f ca="1">IFERROR(__xludf.DUMMYFUNCTION("IMPORTRANGE(""https://docs.google.com/spreadsheets/d/1SX6NBoVAgQJ6U1MVXOaj8PK2l7WJ3RER9xtqwdhxkhw/edit?usp=sharing"",""เพชรบุรี!J442"")"),22)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IFERROR(__xludf.DUMMYFUNCTION("IMPORTRANGE(""https://docs.google.com/spreadsheets/d/1SX6NBoVAgQJ6U1MVXOaj8PK2l7WJ3RER9xtqwdhxkhw/edit?usp=sharing"",""เพชรบุรี!J166"")"),0)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IFERROR(__xludf.DUMMYFUNCTION("IMPORTRANGE(""https://docs.google.com/spreadsheets/d/1SX6NBoVAgQJ6U1MVXOaj8PK2l7WJ3RER9xtqwdhxkhw/edit?usp=sharing"",""เพชรบุรี!J444"")"),0)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IFERROR(__xludf.DUMMYFUNCTION("IMPORTRANGE(""https://docs.google.com/spreadsheets/d/1SX6NBoVAgQJ6U1MVXOaj8PK2l7WJ3RER9xtqwdhxkhw/edit?usp=sharing"",""เพชรบุรี!J445"")"),0)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IFERROR(__xludf.DUMMYFUNCTION("IMPORTRANGE(""https://docs.google.com/spreadsheets/d/1SX6NBoVAgQJ6U1MVXOaj8PK2l7WJ3RER9xtqwdhxkhw/edit?usp=sharing"",""เพชรบุรี!I446"")"),0)</f>
        <v>0</v>
      </c>
      <c r="J551" s="410">
        <f ca="1">IFERROR(__xludf.DUMMYFUNCTION("IMPORTRANGE(""https://docs.google.com/spreadsheets/d/1SX6NBoVAgQJ6U1MVXOaj8PK2l7WJ3RER9xtqwdhxkhw/edit?usp=sharing"",""เพชรบุรี!J446"")"),0)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IFERROR(__xludf.DUMMYFUNCTION("IMPORTRANGE(""https://docs.google.com/spreadsheets/d/1SX6NBoVAgQJ6U1MVXOaj8PK2l7WJ3RER9xtqwdhxkhw/edit?usp=sharing"",""เพชรบุรี!L446"")"),0)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IFERROR(__xludf.DUMMYFUNCTION("IMPORTRANGE(""https://docs.google.com/spreadsheets/d/1SX6NBoVAgQJ6U1MVXOaj8PK2l7WJ3RER9xtqwdhxkhw/edit?usp=sharing"",""เพชรบุรี!M446"")"),0)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IFERROR(__xludf.DUMMYFUNCTION("IMPORTRANGE(""https://docs.google.com/spreadsheets/d/1SX6NBoVAgQJ6U1MVXOaj8PK2l7WJ3RER9xtqwdhxkhw/edit?usp=sharing"",""เพชรบุรี!L447"")"),0)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IFERROR(__xludf.DUMMYFUNCTION("IMPORTRANGE(""https://docs.google.com/spreadsheets/d/1SX6NBoVAgQJ6U1MVXOaj8PK2l7WJ3RER9xtqwdhxkhw/edit?usp=sharing"",""เพชรบุรี!M447"")"),0)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IFERROR(__xludf.DUMMYFUNCTION("IMPORTRANGE(""https://docs.google.com/spreadsheets/d/1SX6NBoVAgQJ6U1MVXOaj8PK2l7WJ3RER9xtqwdhxkhw/edit?usp=sharing"",""เพชรบุรี!L448"")"),0)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IFERROR(__xludf.DUMMYFUNCTION("IMPORTRANGE(""https://docs.google.com/spreadsheets/d/1SX6NBoVAgQJ6U1MVXOaj8PK2l7WJ3RER9xtqwdhxkhw/edit?usp=sharing"",""เพชรบุรี!M448"")"),0)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IFERROR(__xludf.DUMMYFUNCTION("IMPORTRANGE(""https://docs.google.com/spreadsheets/d/1SX6NBoVAgQJ6U1MVXOaj8PK2l7WJ3RER9xtqwdhxkhw/edit?usp=sharing"",""เพชรบุรี!L449"")"),0)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IFERROR(__xludf.DUMMYFUNCTION("IMPORTRANGE(""https://docs.google.com/spreadsheets/d/1SX6NBoVAgQJ6U1MVXOaj8PK2l7WJ3RER9xtqwdhxkhw/edit?usp=sharing"",""เพชรบุรี!M449"")"),0)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IFERROR(__xludf.DUMMYFUNCTION("IMPORTRANGE(""https://docs.google.com/spreadsheets/d/1SX6NBoVAgQJ6U1MVXOaj8PK2l7WJ3RER9xtqwdhxkhw/edit?usp=sharing"",""เพชรบุรี!L450"")"),0)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IFERROR(__xludf.DUMMYFUNCTION("IMPORTRANGE(""https://docs.google.com/spreadsheets/d/1SX6NBoVAgQJ6U1MVXOaj8PK2l7WJ3RER9xtqwdhxkhw/edit?usp=sharing"",""เพชรบุรี!M450"")"),0)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IFERROR(__xludf.DUMMYFUNCTION("IMPORTRANGE(""https://docs.google.com/spreadsheets/d/1SX6NBoVAgQJ6U1MVXOaj8PK2l7WJ3RER9xtqwdhxkhw/edit?usp=sharing"",""เพชรบุรี!M451"")"),0)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IFERROR(__xludf.DUMMYFUNCTION("IMPORTRANGE(""https://docs.google.com/spreadsheets/d/1SX6NBoVAgQJ6U1MVXOaj8PK2l7WJ3RER9xtqwdhxkhw/edit?usp=sharing"",""เพชรบุรี!M452"")"),0)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IFERROR(__xludf.DUMMYFUNCTION("IMPORTRANGE(""https://docs.google.com/spreadsheets/d/1SX6NBoVAgQJ6U1MVXOaj8PK2l7WJ3RER9xtqwdhxkhw/edit?usp=sharing"",""เพชรบุรี!M453"")"),0)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IFERROR(__xludf.DUMMYFUNCTION("IMPORTRANGE(""https://docs.google.com/spreadsheets/d/1SX6NBoVAgQJ6U1MVXOaj8PK2l7WJ3RER9xtqwdhxkhw/edit?usp=sharing"",""เพชรบุรี!M454"")"),0)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IFERROR(__xludf.DUMMYFUNCTION("IMPORTRANGE(""https://docs.google.com/spreadsheets/d/1SX6NBoVAgQJ6U1MVXOaj8PK2l7WJ3RER9xtqwdhxkhw/edit?usp=sharing"",""เพชรบุรี!I455"")"),0)</f>
        <v>0</v>
      </c>
      <c r="J560" s="162">
        <f ca="1">IFERROR(__xludf.DUMMYFUNCTION("IMPORTRANGE(""https://docs.google.com/spreadsheets/d/1SX6NBoVAgQJ6U1MVXOaj8PK2l7WJ3RER9xtqwdhxkhw/edit?usp=sharing"",""เพชรบุรี!J455"")"),0)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IFERROR(__xludf.DUMMYFUNCTION("IMPORTRANGE(""https://docs.google.com/spreadsheets/d/1SX6NBoVAgQJ6U1MVXOaj8PK2l7WJ3RER9xtqwdhxkhw/edit?usp=sharing"",""เพชรบุรี!I456"")"),0)</f>
        <v>0</v>
      </c>
      <c r="J561" s="204">
        <f ca="1">IFERROR(__xludf.DUMMYFUNCTION("IMPORTRANGE(""https://docs.google.com/spreadsheets/d/1SX6NBoVAgQJ6U1MVXOaj8PK2l7WJ3RER9xtqwdhxkhw/edit?usp=sharing"",""เพชรบุรี!J456"")"),0)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IFERROR(__xludf.DUMMYFUNCTION("IMPORTRANGE(""https://docs.google.com/spreadsheets/d/1SX6NBoVAgQJ6U1MVXOaj8PK2l7WJ3RER9xtqwdhxkhw/edit?usp=sharing"",""เพชรบุรี!I459"")"),150)</f>
        <v>150</v>
      </c>
      <c r="J564" s="371">
        <f ca="1">IFERROR(__xludf.DUMMYFUNCTION("IMPORTRANGE(""https://docs.google.com/spreadsheets/d/1SX6NBoVAgQJ6U1MVXOaj8PK2l7WJ3RER9xtqwdhxkhw/edit?usp=sharing"",""เพชรบุรี!J459"")"),618)</f>
        <v>618</v>
      </c>
      <c r="K564" s="372">
        <f ca="1">IF(I564&gt;0,J564*100/I564,0)</f>
        <v>412</v>
      </c>
      <c r="L564" s="373">
        <f ca="1">IFERROR(__xludf.DUMMYFUNCTION("IMPORTRANGE(""https://docs.google.com/spreadsheets/d/1SX6NBoVAgQJ6U1MVXOaj8PK2l7WJ3RER9xtqwdhxkhw/edit?usp=sharing"",""เพชรบุรี!L459"")"),122400)</f>
        <v>122400</v>
      </c>
      <c r="M564" s="373"/>
      <c r="N564" s="373">
        <f ca="1">IFERROR(__xludf.DUMMYFUNCTION("IMPORTRANGE(""https://docs.google.com/spreadsheets/d/1SX6NBoVAgQJ6U1MVXOaj8PK2l7WJ3RER9xtqwdhxkhw/edit?usp=sharing"",""เพชรบุรี!M459"")"),113263)</f>
        <v>113263</v>
      </c>
      <c r="O564" s="373">
        <f t="shared" ref="O564:O568" ca="1" si="122">+IF(L564&gt;0,N564*100/L564,0)</f>
        <v>92.53513071895425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IFERROR(__xludf.DUMMYFUNCTION("IMPORTRANGE(""https://docs.google.com/spreadsheets/d/1SX6NBoVAgQJ6U1MVXOaj8PK2l7WJ3RER9xtqwdhxkhw/edit?usp=sharing"",""เพชรบุรี!L460"")"),0)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IFERROR(__xludf.DUMMYFUNCTION("IMPORTRANGE(""https://docs.google.com/spreadsheets/d/1SX6NBoVAgQJ6U1MVXOaj8PK2l7WJ3RER9xtqwdhxkhw/edit?usp=sharing"",""เพชรบุรี!M460"")"),0)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IFERROR(__xludf.DUMMYFUNCTION("IMPORTRANGE(""https://docs.google.com/spreadsheets/d/1SX6NBoVAgQJ6U1MVXOaj8PK2l7WJ3RER9xtqwdhxkhw/edit?usp=sharing"",""เพชรบุรี!L461"")"),122400)</f>
        <v>122400</v>
      </c>
      <c r="M566" s="165"/>
      <c r="N566" s="169">
        <f ca="1">IFERROR(__xludf.DUMMYFUNCTION("IMPORTRANGE(""https://docs.google.com/spreadsheets/d/1SX6NBoVAgQJ6U1MVXOaj8PK2l7WJ3RER9xtqwdhxkhw/edit?usp=sharing"",""เพชรบุรี!M461"")"),113263)</f>
        <v>113263</v>
      </c>
      <c r="O566" s="169">
        <f t="shared" ca="1" si="122"/>
        <v>92.53513071895425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IFERROR(__xludf.DUMMYFUNCTION("IMPORTRANGE(""https://docs.google.com/spreadsheets/d/1SX6NBoVAgQJ6U1MVXOaj8PK2l7WJ3RER9xtqwdhxkhw/edit?usp=sharing"",""เพชรบุรี!L462"")"),0)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IFERROR(__xludf.DUMMYFUNCTION("IMPORTRANGE(""https://docs.google.com/spreadsheets/d/1SX6NBoVAgQJ6U1MVXOaj8PK2l7WJ3RER9xtqwdhxkhw/edit?usp=sharing"",""เพชรบุรี!M462"")"),0)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IFERROR(__xludf.DUMMYFUNCTION("IMPORTRANGE(""https://docs.google.com/spreadsheets/d/1SX6NBoVAgQJ6U1MVXOaj8PK2l7WJ3RER9xtqwdhxkhw/edit?usp=sharing"",""เพชรบุรี!L463"")"),122400)</f>
        <v>122400</v>
      </c>
      <c r="M568" s="169"/>
      <c r="N568" s="169">
        <f ca="1">IFERROR(__xludf.DUMMYFUNCTION("IMPORTRANGE(""https://docs.google.com/spreadsheets/d/1SX6NBoVAgQJ6U1MVXOaj8PK2l7WJ3RER9xtqwdhxkhw/edit?usp=sharing"",""เพชรบุรี!M463"")"),113263)</f>
        <v>113263</v>
      </c>
      <c r="O568" s="169">
        <f t="shared" ca="1" si="122"/>
        <v>92.53513071895425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IFERROR(__xludf.DUMMYFUNCTION("IMPORTRANGE(""https://docs.google.com/spreadsheets/d/1SX6NBoVAgQJ6U1MVXOaj8PK2l7WJ3RER9xtqwdhxkhw/edit?usp=sharing"",""เพชรบุรี!M464"")"),0)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IFERROR(__xludf.DUMMYFUNCTION("IMPORTRANGE(""https://docs.google.com/spreadsheets/d/1SX6NBoVAgQJ6U1MVXOaj8PK2l7WJ3RER9xtqwdhxkhw/edit?usp=sharing"",""เพชรบุรี!M465"")"),0)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IFERROR(__xludf.DUMMYFUNCTION("IMPORTRANGE(""https://docs.google.com/spreadsheets/d/1SX6NBoVAgQJ6U1MVXOaj8PK2l7WJ3RER9xtqwdhxkhw/edit?usp=sharing"",""เพชรบุรี!M466"")"),98633)</f>
        <v>98633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IFERROR(__xludf.DUMMYFUNCTION("IMPORTRANGE(""https://docs.google.com/spreadsheets/d/1SX6NBoVAgQJ6U1MVXOaj8PK2l7WJ3RER9xtqwdhxkhw/edit?usp=sharing"",""เพชรบุรี!M467"")"),14630)</f>
        <v>14630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IFERROR(__xludf.DUMMYFUNCTION("IMPORTRANGE(""https://docs.google.com/spreadsheets/d/1SX6NBoVAgQJ6U1MVXOaj8PK2l7WJ3RER9xtqwdhxkhw/edit?usp=sharing"",""เพชรบุรี!I468"")"),150)</f>
        <v>150</v>
      </c>
      <c r="J573" s="420">
        <f ca="1">IFERROR(__xludf.DUMMYFUNCTION("IMPORTRANGE(""https://docs.google.com/spreadsheets/d/1SX6NBoVAgQJ6U1MVXOaj8PK2l7WJ3RER9xtqwdhxkhw/edit?usp=sharing"",""เพชรบุรี!J468"")"),618)</f>
        <v>618</v>
      </c>
      <c r="K573" s="202">
        <f ca="1">IF(I573&gt;0,J573*100/I573,0)</f>
        <v>412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IFERROR(__xludf.DUMMYFUNCTION("IMPORTRANGE(""https://docs.google.com/spreadsheets/d/1SX6NBoVAgQJ6U1MVXOaj8PK2l7WJ3RER9xtqwdhxkhw/edit?usp=sharing"",""เพชรบุรี!I470"")"),0)</f>
        <v>0</v>
      </c>
      <c r="J575" s="198">
        <f ca="1">IFERROR(__xludf.DUMMYFUNCTION("IMPORTRANGE(""https://docs.google.com/spreadsheets/d/1SX6NBoVAgQJ6U1MVXOaj8PK2l7WJ3RER9xtqwdhxkhw/edit?usp=sharing"",""เพชรบุรี!J470"")"),5)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IFERROR(__xludf.DUMMYFUNCTION("IMPORTRANGE(""https://docs.google.com/spreadsheets/d/1SX6NBoVAgQJ6U1MVXOaj8PK2l7WJ3RER9xtqwdhxkhw/edit?usp=sharing"",""เพชรบุรี!I471"")"),0)</f>
        <v>0</v>
      </c>
      <c r="J576" s="198">
        <f ca="1">IFERROR(__xludf.DUMMYFUNCTION("IMPORTRANGE(""https://docs.google.com/spreadsheets/d/1SX6NBoVAgQJ6U1MVXOaj8PK2l7WJ3RER9xtqwdhxkhw/edit?usp=sharing"",""เพชรบุรี!J471"")"),115)</f>
        <v>115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IFERROR(__xludf.DUMMYFUNCTION("IMPORTRANGE(""https://docs.google.com/spreadsheets/d/1SX6NBoVAgQJ6U1MVXOaj8PK2l7WJ3RER9xtqwdhxkhw/edit?usp=sharing"",""เพชรบุรี!I472"")"),0)</f>
        <v>0</v>
      </c>
      <c r="J577" s="189">
        <f ca="1">IFERROR(__xludf.DUMMYFUNCTION("IMPORTRANGE(""https://docs.google.com/spreadsheets/d/1SX6NBoVAgQJ6U1MVXOaj8PK2l7WJ3RER9xtqwdhxkhw/edit?usp=sharing"",""เพชรบุรี!J472"")"),503)</f>
        <v>503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IFERROR(__xludf.DUMMYFUNCTION("IMPORTRANGE(""https://docs.google.com/spreadsheets/d/1SX6NBoVAgQJ6U1MVXOaj8PK2l7WJ3RER9xtqwdhxkhw/edit?usp=sharing"",""เพชรบุรี!I473"")"),0)</f>
        <v>0</v>
      </c>
      <c r="J578" s="198">
        <f ca="1">IFERROR(__xludf.DUMMYFUNCTION("IMPORTRANGE(""https://docs.google.com/spreadsheets/d/1SX6NBoVAgQJ6U1MVXOaj8PK2l7WJ3RER9xtqwdhxkhw/edit?usp=sharing"",""เพชรบุรี!J473"")"),0)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IFERROR(__xludf.DUMMYFUNCTION("IMPORTRANGE(""https://docs.google.com/spreadsheets/d/1SX6NBoVAgQJ6U1MVXOaj8PK2l7WJ3RER9xtqwdhxkhw/edit?usp=sharing"",""เพชรบุรี!I474"")"),0)</f>
        <v>0</v>
      </c>
      <c r="J579" s="198">
        <f ca="1">IFERROR(__xludf.DUMMYFUNCTION("IMPORTRANGE(""https://docs.google.com/spreadsheets/d/1SX6NBoVAgQJ6U1MVXOaj8PK2l7WJ3RER9xtqwdhxkhw/edit?usp=sharing"",""เพชรบุรี!J474"")"),0)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IFERROR(__xludf.DUMMYFUNCTION("IMPORTRANGE(""https://docs.google.com/spreadsheets/d/1SX6NBoVAgQJ6U1MVXOaj8PK2l7WJ3RER9xtqwdhxkhw/edit?usp=sharing"",""เพชรบุรี!I475"")"),0)</f>
        <v>0</v>
      </c>
      <c r="J580" s="371">
        <f ca="1">IFERROR(__xludf.DUMMYFUNCTION("IMPORTRANGE(""https://docs.google.com/spreadsheets/d/1SX6NBoVAgQJ6U1MVXOaj8PK2l7WJ3RER9xtqwdhxkhw/edit?usp=sharing"",""เพชรบุรี!J475"")"),0)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IFERROR(__xludf.DUMMYFUNCTION("IMPORTRANGE(""https://docs.google.com/spreadsheets/d/1SX6NBoVAgQJ6U1MVXOaj8PK2l7WJ3RER9xtqwdhxkhw/edit?usp=sharing"",""เพชรบุรี!L475"")"),0)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IFERROR(__xludf.DUMMYFUNCTION("IMPORTRANGE(""https://docs.google.com/spreadsheets/d/1SX6NBoVAgQJ6U1MVXOaj8PK2l7WJ3RER9xtqwdhxkhw/edit?usp=sharing"",""เพชรบุรี!M475"")"),0)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IFERROR(__xludf.DUMMYFUNCTION("IMPORTRANGE(""https://docs.google.com/spreadsheets/d/1SX6NBoVAgQJ6U1MVXOaj8PK2l7WJ3RER9xtqwdhxkhw/edit?usp=sharing"",""เพชรบุรี!L476"")"),0)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IFERROR(__xludf.DUMMYFUNCTION("IMPORTRANGE(""https://docs.google.com/spreadsheets/d/1SX6NBoVAgQJ6U1MVXOaj8PK2l7WJ3RER9xtqwdhxkhw/edit?usp=sharing"",""เพชรบุรี!M476"")"),0)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IFERROR(__xludf.DUMMYFUNCTION("IMPORTRANGE(""https://docs.google.com/spreadsheets/d/1SX6NBoVAgQJ6U1MVXOaj8PK2l7WJ3RER9xtqwdhxkhw/edit?usp=sharing"",""เพชรบุรี!L477"")"),0)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IFERROR(__xludf.DUMMYFUNCTION("IMPORTRANGE(""https://docs.google.com/spreadsheets/d/1SX6NBoVAgQJ6U1MVXOaj8PK2l7WJ3RER9xtqwdhxkhw/edit?usp=sharing"",""เพชรบุรี!M477"")"),0)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IFERROR(__xludf.DUMMYFUNCTION("IMPORTRANGE(""https://docs.google.com/spreadsheets/d/1SX6NBoVAgQJ6U1MVXOaj8PK2l7WJ3RER9xtqwdhxkhw/edit?usp=sharing"",""เพชรบุรี!L478"")"),0)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IFERROR(__xludf.DUMMYFUNCTION("IMPORTRANGE(""https://docs.google.com/spreadsheets/d/1SX6NBoVAgQJ6U1MVXOaj8PK2l7WJ3RER9xtqwdhxkhw/edit?usp=sharing"",""เพชรบุรี!M478"")"),0)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IFERROR(__xludf.DUMMYFUNCTION("IMPORTRANGE(""https://docs.google.com/spreadsheets/d/1SX6NBoVAgQJ6U1MVXOaj8PK2l7WJ3RER9xtqwdhxkhw/edit?usp=sharing"",""เพชรบุรี!L479"")"),0)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IFERROR(__xludf.DUMMYFUNCTION("IMPORTRANGE(""https://docs.google.com/spreadsheets/d/1SX6NBoVAgQJ6U1MVXOaj8PK2l7WJ3RER9xtqwdhxkhw/edit?usp=sharing"",""เพชรบุรี!M479"")"),0)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IFERROR(__xludf.DUMMYFUNCTION("IMPORTRANGE(""https://docs.google.com/spreadsheets/d/1SX6NBoVAgQJ6U1MVXOaj8PK2l7WJ3RER9xtqwdhxkhw/edit?usp=sharing"",""เพชรบุรี!M480"")"),0)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IFERROR(__xludf.DUMMYFUNCTION("IMPORTRANGE(""https://docs.google.com/spreadsheets/d/1SX6NBoVAgQJ6U1MVXOaj8PK2l7WJ3RER9xtqwdhxkhw/edit?usp=sharing"",""เพชรบุรี!M481"")"),0)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IFERROR(__xludf.DUMMYFUNCTION("IMPORTRANGE(""https://docs.google.com/spreadsheets/d/1SX6NBoVAgQJ6U1MVXOaj8PK2l7WJ3RER9xtqwdhxkhw/edit?usp=sharing"",""เพชรบุรี!M482"")"),0)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IFERROR(__xludf.DUMMYFUNCTION("IMPORTRANGE(""https://docs.google.com/spreadsheets/d/1SX6NBoVAgQJ6U1MVXOaj8PK2l7WJ3RER9xtqwdhxkhw/edit?usp=sharing"",""เพชรบุรี!M483"")"),0)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IFERROR(__xludf.DUMMYFUNCTION("IMPORTRANGE(""https://docs.google.com/spreadsheets/d/1SX6NBoVAgQJ6U1MVXOaj8PK2l7WJ3RER9xtqwdhxkhw/edit?usp=sharing"",""เพชรบุรี!I484"")"),0)</f>
        <v>0</v>
      </c>
      <c r="J589" s="188">
        <f ca="1">IFERROR(__xludf.DUMMYFUNCTION("IMPORTRANGE(""https://docs.google.com/spreadsheets/d/1SX6NBoVAgQJ6U1MVXOaj8PK2l7WJ3RER9xtqwdhxkhw/edit?usp=sharing"",""เพชรบุรี!J484"")"),0)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IFERROR(__xludf.DUMMYFUNCTION("IMPORTRANGE(""https://docs.google.com/spreadsheets/d/1SX6NBoVAgQJ6U1MVXOaj8PK2l7WJ3RER9xtqwdhxkhw/edit?usp=sharing"",""เพชรบุรี!I485"")"),0)</f>
        <v>0</v>
      </c>
      <c r="J590" s="188">
        <f ca="1">IFERROR(__xludf.DUMMYFUNCTION("IMPORTRANGE(""https://docs.google.com/spreadsheets/d/1SX6NBoVAgQJ6U1MVXOaj8PK2l7WJ3RER9xtqwdhxkhw/edit?usp=sharing"",""เพชรบุรี!J485"")"),0)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IFERROR(__xludf.DUMMYFUNCTION("IMPORTRANGE(""https://docs.google.com/spreadsheets/d/1SX6NBoVAgQJ6U1MVXOaj8PK2l7WJ3RER9xtqwdhxkhw/edit?usp=sharing"",""เพชรบุรี!I486"")"),0)</f>
        <v>0</v>
      </c>
      <c r="J591" s="188">
        <f ca="1">IFERROR(__xludf.DUMMYFUNCTION("IMPORTRANGE(""https://docs.google.com/spreadsheets/d/1SX6NBoVAgQJ6U1MVXOaj8PK2l7WJ3RER9xtqwdhxkhw/edit?usp=sharing"",""เพชรบุรี!J486"")"),0)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IFERROR(__xludf.DUMMYFUNCTION("IMPORTRANGE(""https://docs.google.com/spreadsheets/d/1SX6NBoVAgQJ6U1MVXOaj8PK2l7WJ3RER9xtqwdhxkhw/edit?usp=sharing"",""เพชรบุรี!I487"")"),0)</f>
        <v>0</v>
      </c>
      <c r="J592" s="188">
        <f ca="1">IFERROR(__xludf.DUMMYFUNCTION("IMPORTRANGE(""https://docs.google.com/spreadsheets/d/1SX6NBoVAgQJ6U1MVXOaj8PK2l7WJ3RER9xtqwdhxkhw/edit?usp=sharing"",""เพชรบุรี!J487"")"),0)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IFERROR(__xludf.DUMMYFUNCTION("IMPORTRANGE(""https://docs.google.com/spreadsheets/d/1SX6NBoVAgQJ6U1MVXOaj8PK2l7WJ3RER9xtqwdhxkhw/edit?usp=sharing"",""เพชรบุรี!I488"")"),0)</f>
        <v>0</v>
      </c>
      <c r="J593" s="188">
        <f ca="1">IFERROR(__xludf.DUMMYFUNCTION("IMPORTRANGE(""https://docs.google.com/spreadsheets/d/1SX6NBoVAgQJ6U1MVXOaj8PK2l7WJ3RER9xtqwdhxkhw/edit?usp=sharing"",""เพชรบุรี!J488"")"),0)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IFERROR(__xludf.DUMMYFUNCTION("IMPORTRANGE(""https://docs.google.com/spreadsheets/d/1SX6NBoVAgQJ6U1MVXOaj8PK2l7WJ3RER9xtqwdhxkhw/edit?usp=sharing"",""เพชรบุรี!I489"")"),0)</f>
        <v>0</v>
      </c>
      <c r="J594" s="188">
        <f ca="1">IFERROR(__xludf.DUMMYFUNCTION("IMPORTRANGE(""https://docs.google.com/spreadsheets/d/1SX6NBoVAgQJ6U1MVXOaj8PK2l7WJ3RER9xtqwdhxkhw/edit?usp=sharing"",""เพชรบุรี!J489"")"),0)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IFERROR(__xludf.DUMMYFUNCTION("IMPORTRANGE(""https://docs.google.com/spreadsheets/d/1SX6NBoVAgQJ6U1MVXOaj8PK2l7WJ3RER9xtqwdhxkhw/edit?usp=sharing"",""เพชรบุรี!I490"")"),0)</f>
        <v>0</v>
      </c>
      <c r="J595" s="188">
        <f ca="1">IFERROR(__xludf.DUMMYFUNCTION("IMPORTRANGE(""https://docs.google.com/spreadsheets/d/1SX6NBoVAgQJ6U1MVXOaj8PK2l7WJ3RER9xtqwdhxkhw/edit?usp=sharing"",""เพชรบุรี!J490"")"),0)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IFERROR(__xludf.DUMMYFUNCTION("IMPORTRANGE(""https://docs.google.com/spreadsheets/d/1SX6NBoVAgQJ6U1MVXOaj8PK2l7WJ3RER9xtqwdhxkhw/edit?usp=sharing"",""เพชรบุรี!I491"")"),0)</f>
        <v>0</v>
      </c>
      <c r="J596" s="242">
        <f ca="1">IFERROR(__xludf.DUMMYFUNCTION("IMPORTRANGE(""https://docs.google.com/spreadsheets/d/1SX6NBoVAgQJ6U1MVXOaj8PK2l7WJ3RER9xtqwdhxkhw/edit?usp=sharing"",""เพชรบุรี!J491"")"),0)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IFERROR(__xludf.DUMMYFUNCTION("IMPORTRANGE(""https://docs.google.com/spreadsheets/d/1SX6NBoVAgQJ6U1MVXOaj8PK2l7WJ3RER9xtqwdhxkhw/edit?usp=sharing"",""เพชรบุรี!I492"")"),50)</f>
        <v>50</v>
      </c>
      <c r="J597" s="488">
        <f ca="1">IFERROR(__xludf.DUMMYFUNCTION("IMPORTRANGE(""https://docs.google.com/spreadsheets/d/1SX6NBoVAgQJ6U1MVXOaj8PK2l7WJ3RER9xtqwdhxkhw/edit?usp=sharing"",""เพชรบุรี!J492"")"),0)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IFERROR(__xludf.DUMMYFUNCTION("IMPORTRANGE(""https://docs.google.com/spreadsheets/d/1SX6NBoVAgQJ6U1MVXOaj8PK2l7WJ3RER9xtqwdhxkhw/edit?usp=sharing"",""เพชรบุรี!L492"")"),4550)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IFERROR(__xludf.DUMMYFUNCTION("IMPORTRANGE(""https://docs.google.com/spreadsheets/d/1SX6NBoVAgQJ6U1MVXOaj8PK2l7WJ3RER9xtqwdhxkhw/edit?usp=sharing"",""เพชรบุรี!M492"")"),950)</f>
        <v>950</v>
      </c>
      <c r="O597" s="412">
        <f t="shared" ref="O597:O601" ca="1" si="126">+IF(L597&gt;0,N597*100/L597,0)</f>
        <v>20.87912087912088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IFERROR(__xludf.DUMMYFUNCTION("IMPORTRANGE(""https://docs.google.com/spreadsheets/d/1SX6NBoVAgQJ6U1MVXOaj8PK2l7WJ3RER9xtqwdhxkhw/edit?usp=sharing"",""เพชรบุรี!L493"")"),0)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IFERROR(__xludf.DUMMYFUNCTION("IMPORTRANGE(""https://docs.google.com/spreadsheets/d/1SX6NBoVAgQJ6U1MVXOaj8PK2l7WJ3RER9xtqwdhxkhw/edit?usp=sharing"",""เพชรบุรี!M493"")"),0)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IFERROR(__xludf.DUMMYFUNCTION("IMPORTRANGE(""https://docs.google.com/spreadsheets/d/1SX6NBoVAgQJ6U1MVXOaj8PK2l7WJ3RER9xtqwdhxkhw/edit?usp=sharing"",""เพชรบุรี!L494"")"),4550)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IFERROR(__xludf.DUMMYFUNCTION("IMPORTRANGE(""https://docs.google.com/spreadsheets/d/1SX6NBoVAgQJ6U1MVXOaj8PK2l7WJ3RER9xtqwdhxkhw/edit?usp=sharing"",""เพชรบุรี!M494"")"),950)</f>
        <v>950</v>
      </c>
      <c r="O599" s="169">
        <f t="shared" ca="1" si="126"/>
        <v>20.87912087912088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IFERROR(__xludf.DUMMYFUNCTION("IMPORTRANGE(""https://docs.google.com/spreadsheets/d/1SX6NBoVAgQJ6U1MVXOaj8PK2l7WJ3RER9xtqwdhxkhw/edit?usp=sharing"",""เพชรบุรี!L495"")"),0)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IFERROR(__xludf.DUMMYFUNCTION("IMPORTRANGE(""https://docs.google.com/spreadsheets/d/1SX6NBoVAgQJ6U1MVXOaj8PK2l7WJ3RER9xtqwdhxkhw/edit?usp=sharing"",""เพชรบุรี!M495"")"),0)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IFERROR(__xludf.DUMMYFUNCTION("IMPORTRANGE(""https://docs.google.com/spreadsheets/d/1SX6NBoVAgQJ6U1MVXOaj8PK2l7WJ3RER9xtqwdhxkhw/edit?usp=sharing"",""เพชรบุรี!L496"")"),4550)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IFERROR(__xludf.DUMMYFUNCTION("IMPORTRANGE(""https://docs.google.com/spreadsheets/d/1SX6NBoVAgQJ6U1MVXOaj8PK2l7WJ3RER9xtqwdhxkhw/edit?usp=sharing"",""เพชรบุรี!M496"")"),950)</f>
        <v>950</v>
      </c>
      <c r="O601" s="169">
        <f t="shared" ca="1" si="126"/>
        <v>20.87912087912088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IFERROR(__xludf.DUMMYFUNCTION("IMPORTRANGE(""https://docs.google.com/spreadsheets/d/1SX6NBoVAgQJ6U1MVXOaj8PK2l7WJ3RER9xtqwdhxkhw/edit?usp=sharing"",""เพชรบุรี!M497"")"),0)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IFERROR(__xludf.DUMMYFUNCTION("IMPORTRANGE(""https://docs.google.com/spreadsheets/d/1SX6NBoVAgQJ6U1MVXOaj8PK2l7WJ3RER9xtqwdhxkhw/edit?usp=sharing"",""เพชรบุรี!M498"")"),0)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IFERROR(__xludf.DUMMYFUNCTION("IMPORTRANGE(""https://docs.google.com/spreadsheets/d/1SX6NBoVAgQJ6U1MVXOaj8PK2l7WJ3RER9xtqwdhxkhw/edit?usp=sharing"",""เพชรบุรี!M499"")"),0)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IFERROR(__xludf.DUMMYFUNCTION("IMPORTRANGE(""https://docs.google.com/spreadsheets/d/1SX6NBoVAgQJ6U1MVXOaj8PK2l7WJ3RER9xtqwdhxkhw/edit?usp=sharing"",""เพชรบุรี!M500"")"),950)</f>
        <v>950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IFERROR(__xludf.DUMMYFUNCTION("IMPORTRANGE(""https://docs.google.com/spreadsheets/d/1SX6NBoVAgQJ6U1MVXOaj8PK2l7WJ3RER9xtqwdhxkhw/edit?usp=sharing"",""เพชรบุรี!J502"")"),0)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IFERROR(__xludf.DUMMYFUNCTION("IMPORTRANGE(""https://docs.google.com/spreadsheets/d/1SX6NBoVAgQJ6U1MVXOaj8PK2l7WJ3RER9xtqwdhxkhw/edit?usp=sharing"",""เพชรบุรี!J503"")"),1)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IFERROR(__xludf.DUMMYFUNCTION("IMPORTRANGE(""https://docs.google.com/spreadsheets/d/1SX6NBoVAgQJ6U1MVXOaj8PK2l7WJ3RER9xtqwdhxkhw/edit?usp=sharing"",""เพชรบุรี!J166"")"),0)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IFERROR(__xludf.DUMMYFUNCTION("IMPORTRANGE(""https://docs.google.com/spreadsheets/d/1SX6NBoVAgQJ6U1MVXOaj8PK2l7WJ3RER9xtqwdhxkhw/edit?usp=sharing"",""เพชรบุรี!J166"")"),0)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IFERROR(__xludf.DUMMYFUNCTION("IMPORTRANGE(""https://docs.google.com/spreadsheets/d/1SX6NBoVAgQJ6U1MVXOaj8PK2l7WJ3RER9xtqwdhxkhw/edit?usp=sharing"",""เพชรบุรี!I506"")"),50)</f>
        <v>50</v>
      </c>
      <c r="J611" s="162">
        <f ca="1">IFERROR(__xludf.DUMMYFUNCTION("IMPORTRANGE(""https://docs.google.com/spreadsheets/d/1SX6NBoVAgQJ6U1MVXOaj8PK2l7WJ3RER9xtqwdhxkhw/edit?usp=sharing"",""เพชรบุรี!J506"")"),0)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IFERROR(__xludf.DUMMYFUNCTION("IMPORTRANGE(""https://docs.google.com/spreadsheets/d/1SX6NBoVAgQJ6U1MVXOaj8PK2l7WJ3RER9xtqwdhxkhw/edit?usp=sharing"",""เพชรบุรี!I507"")"),0)</f>
        <v>0</v>
      </c>
      <c r="J612" s="198">
        <f ca="1">IFERROR(__xludf.DUMMYFUNCTION("IMPORTRANGE(""https://docs.google.com/spreadsheets/d/1SX6NBoVAgQJ6U1MVXOaj8PK2l7WJ3RER9xtqwdhxkhw/edit?usp=sharing"",""เพชรบุรี!J507"")"),0)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IFERROR(__xludf.DUMMYFUNCTION("IMPORTRANGE(""https://docs.google.com/spreadsheets/d/1SX6NBoVAgQJ6U1MVXOaj8PK2l7WJ3RER9xtqwdhxkhw/edit?usp=sharing"",""เพชรบุรี!I508"")"),0)</f>
        <v>0</v>
      </c>
      <c r="J613" s="198">
        <f ca="1">IFERROR(__xludf.DUMMYFUNCTION("IMPORTRANGE(""https://docs.google.com/spreadsheets/d/1SX6NBoVAgQJ6U1MVXOaj8PK2l7WJ3RER9xtqwdhxkhw/edit?usp=sharing"",""เพชรบุรี!J508"")"),0)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IFERROR(__xludf.DUMMYFUNCTION("IMPORTRANGE(""https://docs.google.com/spreadsheets/d/1SX6NBoVAgQJ6U1MVXOaj8PK2l7WJ3RER9xtqwdhxkhw/edit?usp=sharing"",""เพชรบุรี!I509"")"),0)</f>
        <v>0</v>
      </c>
      <c r="J614" s="198">
        <f ca="1">IFERROR(__xludf.DUMMYFUNCTION("IMPORTRANGE(""https://docs.google.com/spreadsheets/d/1SX6NBoVAgQJ6U1MVXOaj8PK2l7WJ3RER9xtqwdhxkhw/edit?usp=sharing"",""เพชรบุรี!J509"")"),0)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IFERROR(__xludf.DUMMYFUNCTION("IMPORTRANGE(""https://docs.google.com/spreadsheets/d/1SX6NBoVAgQJ6U1MVXOaj8PK2l7WJ3RER9xtqwdhxkhw/edit?usp=sharing"",""เพชรบุรี!I510"")"),0)</f>
        <v>0</v>
      </c>
      <c r="J615" s="198">
        <f ca="1">IFERROR(__xludf.DUMMYFUNCTION("IMPORTRANGE(""https://docs.google.com/spreadsheets/d/1SX6NBoVAgQJ6U1MVXOaj8PK2l7WJ3RER9xtqwdhxkhw/edit?usp=sharing"",""เพชรบุรี!J510"")"),0)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IFERROR(__xludf.DUMMYFUNCTION("IMPORTRANGE(""https://docs.google.com/spreadsheets/d/1SX6NBoVAgQJ6U1MVXOaj8PK2l7WJ3RER9xtqwdhxkhw/edit?usp=sharing"",""เพชรบุรี!I511"")"),0)</f>
        <v>0</v>
      </c>
      <c r="J616" s="198">
        <f ca="1">IFERROR(__xludf.DUMMYFUNCTION("IMPORTRANGE(""https://docs.google.com/spreadsheets/d/1SX6NBoVAgQJ6U1MVXOaj8PK2l7WJ3RER9xtqwdhxkhw/edit?usp=sharing"",""เพชรบุรี!J511"")"),0)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IFERROR(__xludf.DUMMYFUNCTION("IMPORTRANGE(""https://docs.google.com/spreadsheets/d/1SX6NBoVAgQJ6U1MVXOaj8PK2l7WJ3RER9xtqwdhxkhw/edit?usp=sharing"",""เพชรบุรี!I512"")"),0)</f>
        <v>0</v>
      </c>
      <c r="J617" s="188">
        <f ca="1">IFERROR(__xludf.DUMMYFUNCTION("IMPORTRANGE(""https://docs.google.com/spreadsheets/d/1SX6NBoVAgQJ6U1MVXOaj8PK2l7WJ3RER9xtqwdhxkhw/edit?usp=sharing"",""เพชรบุรี!J512"")"),0)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IFERROR(__xludf.DUMMYFUNCTION("IMPORTRANGE(""https://docs.google.com/spreadsheets/d/1SX6NBoVAgQJ6U1MVXOaj8PK2l7WJ3RER9xtqwdhxkhw/edit?usp=sharing"",""เพชรบุรี!I513"")"),0)</f>
        <v>0</v>
      </c>
      <c r="J618" s="189">
        <f ca="1">IFERROR(__xludf.DUMMYFUNCTION("IMPORTRANGE(""https://docs.google.com/spreadsheets/d/1SX6NBoVAgQJ6U1MVXOaj8PK2l7WJ3RER9xtqwdhxkhw/edit?usp=sharing"",""เพชรบุรี!J513"")"),0)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IFERROR(__xludf.DUMMYFUNCTION("IMPORTRANGE(""https://docs.google.com/spreadsheets/d/1SX6NBoVAgQJ6U1MVXOaj8PK2l7WJ3RER9xtqwdhxkhw/edit?usp=sharing"",""เพชรบุรี!I514"")"),0)</f>
        <v>0</v>
      </c>
      <c r="J619" s="189">
        <f ca="1">IFERROR(__xludf.DUMMYFUNCTION("IMPORTRANGE(""https://docs.google.com/spreadsheets/d/1SX6NBoVAgQJ6U1MVXOaj8PK2l7WJ3RER9xtqwdhxkhw/edit?usp=sharing"",""เพชรบุรี!J514"")"),0)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IFERROR(__xludf.DUMMYFUNCTION("IMPORTRANGE(""https://docs.google.com/spreadsheets/d/1SX6NBoVAgQJ6U1MVXOaj8PK2l7WJ3RER9xtqwdhxkhw/edit?usp=sharing"",""เพชรบุรี!I515"")"),0)</f>
        <v>0</v>
      </c>
      <c r="J620" s="203">
        <f ca="1">IFERROR(__xludf.DUMMYFUNCTION("IMPORTRANGE(""https://docs.google.com/spreadsheets/d/1SX6NBoVAgQJ6U1MVXOaj8PK2l7WJ3RER9xtqwdhxkhw/edit?usp=sharing"",""เพชรบุรี!J515"")"),0)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IFERROR(__xludf.DUMMYFUNCTION("IMPORTRANGE(""https://docs.google.com/spreadsheets/d/1SX6NBoVAgQJ6U1MVXOaj8PK2l7WJ3RER9xtqwdhxkhw/edit?usp=sharing"",""เพชรบุรี!I516"")"),0)</f>
        <v>0</v>
      </c>
      <c r="J621" s="203">
        <f ca="1">IFERROR(__xludf.DUMMYFUNCTION("IMPORTRANGE(""https://docs.google.com/spreadsheets/d/1SX6NBoVAgQJ6U1MVXOaj8PK2l7WJ3RER9xtqwdhxkhw/edit?usp=sharing"",""เพชรบุรี!J516"")"),0)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IFERROR(__xludf.DUMMYFUNCTION("IMPORTRANGE(""https://docs.google.com/spreadsheets/d/1SX6NBoVAgQJ6U1MVXOaj8PK2l7WJ3RER9xtqwdhxkhw/edit?usp=sharing"",""เพชรบุรี!I517"")"),0)</f>
        <v>0</v>
      </c>
      <c r="J622" s="189">
        <f ca="1">IFERROR(__xludf.DUMMYFUNCTION("IMPORTRANGE(""https://docs.google.com/spreadsheets/d/1SX6NBoVAgQJ6U1MVXOaj8PK2l7WJ3RER9xtqwdhxkhw/edit?usp=sharing"",""เพชรบุรี!J517"")"),0)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IFERROR(__xludf.DUMMYFUNCTION("IMPORTRANGE(""https://docs.google.com/spreadsheets/d/1SX6NBoVAgQJ6U1MVXOaj8PK2l7WJ3RER9xtqwdhxkhw/edit?usp=sharing"",""เพชรบุรี!I518"")"),0)</f>
        <v>0</v>
      </c>
      <c r="J623" s="189">
        <f ca="1">IFERROR(__xludf.DUMMYFUNCTION("IMPORTRANGE(""https://docs.google.com/spreadsheets/d/1SX6NBoVAgQJ6U1MVXOaj8PK2l7WJ3RER9xtqwdhxkhw/edit?usp=sharing"",""เพชรบุรี!J518"")"),0)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IFERROR(__xludf.DUMMYFUNCTION("IMPORTRANGE(""https://docs.google.com/spreadsheets/d/1SX6NBoVAgQJ6U1MVXOaj8PK2l7WJ3RER9xtqwdhxkhw/edit?usp=sharing"",""เพชรบุรี!I519"")"),0)</f>
        <v>0</v>
      </c>
      <c r="J624" s="188">
        <f ca="1">IFERROR(__xludf.DUMMYFUNCTION("IMPORTRANGE(""https://docs.google.com/spreadsheets/d/1SX6NBoVAgQJ6U1MVXOaj8PK2l7WJ3RER9xtqwdhxkhw/edit?usp=sharing"",""เพชรบุรี!J519"")"),0)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IFERROR(__xludf.DUMMYFUNCTION("IMPORTRANGE(""https://docs.google.com/spreadsheets/d/1SX6NBoVAgQJ6U1MVXOaj8PK2l7WJ3RER9xtqwdhxkhw/edit?usp=sharing"",""เพชรบุรี!I520"")"),0)</f>
        <v>0</v>
      </c>
      <c r="J625" s="189">
        <f ca="1">IFERROR(__xludf.DUMMYFUNCTION("IMPORTRANGE(""https://docs.google.com/spreadsheets/d/1SX6NBoVAgQJ6U1MVXOaj8PK2l7WJ3RER9xtqwdhxkhw/edit?usp=sharing"",""เพชรบุรี!J520"")"),0)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IFERROR(__xludf.DUMMYFUNCTION("IMPORTRANGE(""https://docs.google.com/spreadsheets/d/1SX6NBoVAgQJ6U1MVXOaj8PK2l7WJ3RER9xtqwdhxkhw/edit?usp=sharing"",""เพชรบุรี!I521"")"),0)</f>
        <v>0</v>
      </c>
      <c r="J626" s="189">
        <f ca="1">IFERROR(__xludf.DUMMYFUNCTION("IMPORTRANGE(""https://docs.google.com/spreadsheets/d/1SX6NBoVAgQJ6U1MVXOaj8PK2l7WJ3RER9xtqwdhxkhw/edit?usp=sharing"",""เพชรบุรี!J521"")"),0)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2">
        <f ca="1">IFERROR(__xludf.DUMMYFUNCTION("IMPORTRANGE(""https://docs.google.com/spreadsheets/d/1SX6NBoVAgQJ6U1MVXOaj8PK2l7WJ3RER9xtqwdhxkhw/edit?usp=sharing"",""เพชรบุรี!J523"")"),1009591.66)</f>
        <v>1009591.66</v>
      </c>
      <c r="K628" s="343">
        <f t="shared" ref="K628:K635" ca="1" si="129">IF(I628&gt;0,J628*100/I628,0)</f>
        <v>87.883855998361682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IFERROR(__xludf.DUMMYFUNCTION("IMPORTRANGE(""https://docs.google.com/spreadsheets/d/1SX6NBoVAgQJ6U1MVXOaj8PK2l7WJ3RER9xtqwdhxkhw/edit?usp=sharing"",""เพชรบุรี!I524"")"),86)</f>
        <v>86</v>
      </c>
      <c r="J629" s="342">
        <f ca="1">IFERROR(__xludf.DUMMYFUNCTION("IMPORTRANGE(""https://docs.google.com/spreadsheets/d/1SX6NBoVAgQJ6U1MVXOaj8PK2l7WJ3RER9xtqwdhxkhw/edit?usp=sharing"",""เพชรบุรี!J524"")"),74)</f>
        <v>74</v>
      </c>
      <c r="K629" s="343">
        <f t="shared" ca="1" si="129"/>
        <v>86.04651162790698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2">
        <f ca="1">IFERROR(__xludf.DUMMYFUNCTION("IMPORTRANGE(""https://docs.google.com/spreadsheets/d/1SX6NBoVAgQJ6U1MVXOaj8PK2l7WJ3RER9xtqwdhxkhw/edit?usp=sharing"",""เพชรบุรี!J525"")"),340989.93)</f>
        <v>340989.93</v>
      </c>
      <c r="K630" s="343">
        <f t="shared" ca="1" si="129"/>
        <v>70.112186100426399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IFERROR(__xludf.DUMMYFUNCTION("IMPORTRANGE(""https://docs.google.com/spreadsheets/d/1SX6NBoVAgQJ6U1MVXOaj8PK2l7WJ3RER9xtqwdhxkhw/edit?usp=sharing"",""เพชรบุรี!I526"")"),21)</f>
        <v>21</v>
      </c>
      <c r="J631" s="342">
        <f ca="1">IFERROR(__xludf.DUMMYFUNCTION("IMPORTRANGE(""https://docs.google.com/spreadsheets/d/1SX6NBoVAgQJ6U1MVXOaj8PK2l7WJ3RER9xtqwdhxkhw/edit?usp=sharing"",""เพชรบุรี!J526"")"),20)</f>
        <v>20</v>
      </c>
      <c r="K631" s="343">
        <f t="shared" ca="1" si="129"/>
        <v>95.238095238095241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IFERROR(__xludf.DUMMYFUNCTION("IMPORTRANGE(""https://docs.google.com/spreadsheets/d/1SX6NBoVAgQJ6U1MVXOaj8PK2l7WJ3RER9xtqwdhxkhw/edit?usp=sharing"",""เพชรบุรี!I527"")"),1118.75)</f>
        <v>1118.75</v>
      </c>
      <c r="J632" s="342">
        <f ca="1">IFERROR(__xludf.DUMMYFUNCTION("IMPORTRANGE(""https://docs.google.com/spreadsheets/d/1SX6NBoVAgQJ6U1MVXOaj8PK2l7WJ3RER9xtqwdhxkhw/edit?usp=sharing"",""เพชรบุรี!J527"")"),277216.04)</f>
        <v>277216.03999999998</v>
      </c>
      <c r="K632" s="343">
        <f t="shared" ca="1" si="129"/>
        <v>24779.087374301671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IFERROR(__xludf.DUMMYFUNCTION("IMPORTRANGE(""https://docs.google.com/spreadsheets/d/1SX6NBoVAgQJ6U1MVXOaj8PK2l7WJ3RER9xtqwdhxkhw/edit?usp=sharing"",""เพชรบุรี!I528"")"),1)</f>
        <v>1</v>
      </c>
      <c r="J633" s="342">
        <f ca="1">IFERROR(__xludf.DUMMYFUNCTION("IMPORTRANGE(""https://docs.google.com/spreadsheets/d/1SX6NBoVAgQJ6U1MVXOaj8PK2l7WJ3RER9xtqwdhxkhw/edit?usp=sharing"",""เพชรบุรี!J528"")"),23)</f>
        <v>23</v>
      </c>
      <c r="K633" s="343">
        <f t="shared" ca="1" si="129"/>
        <v>2300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IFERROR(__xludf.DUMMYFUNCTION("IMPORTRANGE(""https://docs.google.com/spreadsheets/d/1SX6NBoVAgQJ6U1MVXOaj8PK2l7WJ3RER9xtqwdhxkhw/edit?usp=sharing"",""เพชรบุรี!I529"")"),1200000)</f>
        <v>1200000</v>
      </c>
      <c r="J634" s="342">
        <f ca="1">IFERROR(__xludf.DUMMYFUNCTION("IMPORTRANGE(""https://docs.google.com/spreadsheets/d/1SX6NBoVAgQJ6U1MVXOaj8PK2l7WJ3RER9xtqwdhxkhw/edit?usp=sharing"",""เพชรบุรี!J529"")"),1200000)</f>
        <v>1200000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IFERROR(__xludf.DUMMYFUNCTION("IMPORTRANGE(""https://docs.google.com/spreadsheets/d/1SX6NBoVAgQJ6U1MVXOaj8PK2l7WJ3RER9xtqwdhxkhw/edit?usp=sharing"",""เพชรบุรี!I530"")"),27)</f>
        <v>27</v>
      </c>
      <c r="J635" s="505">
        <f ca="1">IFERROR(__xludf.DUMMYFUNCTION("IMPORTRANGE(""https://docs.google.com/spreadsheets/d/1SX6NBoVAgQJ6U1MVXOaj8PK2l7WJ3RER9xtqwdhxkhw/edit?usp=sharing"",""เพชรบุรี!J530"")"),30)</f>
        <v>30</v>
      </c>
      <c r="K635" s="487">
        <f t="shared" ca="1" si="129"/>
        <v>111.11111111111111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34390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34390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34390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IFERROR(__xludf.DUMMYFUNCTION("IMPORTRANGE(""https://docs.google.com/spreadsheets/d/1SX6NBoVAgQJ6U1MVXOaj8PK2l7WJ3RER9xtqwdhxkhw/edit#gid=346597447"",""เพชรบุรี!J541"")"),0)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IFERROR(__xludf.DUMMYFUNCTION("IMPORTRANGE(""https://docs.google.com/spreadsheets/d/1SX6NBoVAgQJ6U1MVXOaj8PK2l7WJ3RER9xtqwdhxkhw/edit#gid=346597447"",""เพชรบุรี!J542"")"),0)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IFERROR(__xludf.DUMMYFUNCTION("IMPORTRANGE(""https://docs.google.com/spreadsheets/d/1SX6NBoVAgQJ6U1MVXOaj8PK2l7WJ3RER9xtqwdhxkhw/edit#gid=346597447"",""เพชรบุรี!I543"")"),0)</f>
        <v>0</v>
      </c>
      <c r="J648" s="537">
        <f ca="1">IFERROR(__xludf.DUMMYFUNCTION("IMPORTRANGE(""https://docs.google.com/spreadsheets/d/1SX6NBoVAgQJ6U1MVXOaj8PK2l7WJ3RER9xtqwdhxkhw/edit#gid=346597447"",""เพชรบุรี!J543"")"),0)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IFERROR(__xludf.DUMMYFUNCTION("IMPORTRANGE(""https://docs.google.com/spreadsheets/d/1SX6NBoVAgQJ6U1MVXOaj8PK2l7WJ3RER9xtqwdhxkhw/edit#gid=346597447"",""เพชรบุรี!L543"")"),0)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IFERROR(__xludf.DUMMYFUNCTION("IMPORTRANGE(""https://docs.google.com/spreadsheets/d/1SX6NBoVAgQJ6U1MVXOaj8PK2l7WJ3RER9xtqwdhxkhw/edit#gid=346597447"",""เพชรบุรี!M543"")"),0)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IFERROR(__xludf.DUMMYFUNCTION("IMPORTRANGE(""https://docs.google.com/spreadsheets/d/1SX6NBoVAgQJ6U1MVXOaj8PK2l7WJ3RER9xtqwdhxkhw/edit#gid=346597447"",""เพชรบุรี!I544"")"),41)</f>
        <v>41</v>
      </c>
      <c r="J649" s="537">
        <f ca="1">IFERROR(__xludf.DUMMYFUNCTION("IMPORTRANGE(""https://docs.google.com/spreadsheets/d/1SX6NBoVAgQJ6U1MVXOaj8PK2l7WJ3RER9xtqwdhxkhw/edit#gid=346597447"",""เพชรบุรี!J544"")"),6)</f>
        <v>6</v>
      </c>
      <c r="K649" s="538">
        <f t="shared" ca="1" si="131"/>
        <v>14.634146341463415</v>
      </c>
      <c r="L649" s="523">
        <f ca="1">IFERROR(__xludf.DUMMYFUNCTION("IMPORTRANGE(""https://docs.google.com/spreadsheets/d/1SX6NBoVAgQJ6U1MVXOaj8PK2l7WJ3RER9xtqwdhxkhw/edit#gid=346597447"",""เพชรบุรี!L544"")"),4920)</f>
        <v>4920</v>
      </c>
      <c r="M649" s="522"/>
      <c r="N649" s="539">
        <f ca="1">IFERROR(__xludf.DUMMYFUNCTION("IMPORTRANGE(""https://docs.google.com/spreadsheets/d/1SX6NBoVAgQJ6U1MVXOaj8PK2l7WJ3RER9xtqwdhxkhw/edit#gid=346597447"",""เพชรบุรี!M544"")"),0)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IFERROR(__xludf.DUMMYFUNCTION("IMPORTRANGE(""https://docs.google.com/spreadsheets/d/1SX6NBoVAgQJ6U1MVXOaj8PK2l7WJ3RER9xtqwdhxkhw/edit#gid=346597447"",""เพชรบุรี!I545"")"),0)</f>
        <v>0</v>
      </c>
      <c r="J650" s="537">
        <f ca="1">IFERROR(__xludf.DUMMYFUNCTION("IMPORTRANGE(""https://docs.google.com/spreadsheets/d/1SX6NBoVAgQJ6U1MVXOaj8PK2l7WJ3RER9xtqwdhxkhw/edit#gid=346597447"",""เพชรบุรี!J545"")"),0)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IFERROR(__xludf.DUMMYFUNCTION("IMPORTRANGE(""https://docs.google.com/spreadsheets/d/1SX6NBoVAgQJ6U1MVXOaj8PK2l7WJ3RER9xtqwdhxkhw/edit#gid=346597447"",""เพชรบุรี!L545"")"),0)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IFERROR(__xludf.DUMMYFUNCTION("IMPORTRANGE(""https://docs.google.com/spreadsheets/d/1SX6NBoVAgQJ6U1MVXOaj8PK2l7WJ3RER9xtqwdhxkhw/edit#gid=346597447"",""เพชรบุรี!M545"")"),0)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IFERROR(__xludf.DUMMYFUNCTION("IMPORTRANGE(""https://docs.google.com/spreadsheets/d/1SX6NBoVAgQJ6U1MVXOaj8PK2l7WJ3RER9xtqwdhxkhw/edit#gid=346597447"",""เพชรบุรี!I546"")"),270)</f>
        <v>270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IFERROR(__xludf.DUMMYFUNCTION("IMPORTRANGE(""https://docs.google.com/spreadsheets/d/1SX6NBoVAgQJ6U1MVXOaj8PK2l7WJ3RER9xtqwdhxkhw/edit#gid=346597447"",""เพชรบุรี!L546"")"),6750)</f>
        <v>6750</v>
      </c>
      <c r="M651" s="522"/>
      <c r="N651" s="539">
        <f ca="1">IFERROR(__xludf.DUMMYFUNCTION("IMPORTRANGE(""https://docs.google.com/spreadsheets/d/1SX6NBoVAgQJ6U1MVXOaj8PK2l7WJ3RER9xtqwdhxkhw/edit#gid=346597447"",""เพชรบุรี!M546"")"),0)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IFERROR(__xludf.DUMMYFUNCTION("IMPORTRANGE(""https://docs.google.com/spreadsheets/d/1SX6NBoVAgQJ6U1MVXOaj8PK2l7WJ3RER9xtqwdhxkhw/edit#gid=346597447"",""เพชรบุรี!J547"")"),0)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IFERROR(__xludf.DUMMYFUNCTION("IMPORTRANGE(""https://docs.google.com/spreadsheets/d/1SX6NBoVAgQJ6U1MVXOaj8PK2l7WJ3RER9xtqwdhxkhw/edit#gid=346597447"",""เพชรบุรี!J548"")"),0)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IFERROR(__xludf.DUMMYFUNCTION("IMPORTRANGE(""https://docs.google.com/spreadsheets/d/1SX6NBoVAgQJ6U1MVXOaj8PK2l7WJ3RER9xtqwdhxkhw/edit#gid=346597447"",""เพชรบุรี!J550"")"),0)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IFERROR(__xludf.DUMMYFUNCTION("IMPORTRANGE(""https://docs.google.com/spreadsheets/d/1SX6NBoVAgQJ6U1MVXOaj8PK2l7WJ3RER9xtqwdhxkhw/edit#gid=346597447"",""เพชรบุรี!J551"")"),0)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IFERROR(__xludf.DUMMYFUNCTION("IMPORTRANGE(""https://docs.google.com/spreadsheets/d/1SX6NBoVAgQJ6U1MVXOaj8PK2l7WJ3RER9xtqwdhxkhw/edit#gid=346597447"",""เพชรบุรี!J552"")"),0)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IFERROR(__xludf.DUMMYFUNCTION("IMPORTRANGE(""https://docs.google.com/spreadsheets/d/1SX6NBoVAgQJ6U1MVXOaj8PK2l7WJ3RER9xtqwdhxkhw/edit#gid=346597447"",""เพชรบุรี!J553"")"),0)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IFERROR(__xludf.DUMMYFUNCTION("IMPORTRANGE(""https://docs.google.com/spreadsheets/d/1SX6NBoVAgQJ6U1MVXOaj8PK2l7WJ3RER9xtqwdhxkhw/edit#gid=346597447"",""เพชรบุรี!J554"")"),0)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IFERROR(__xludf.DUMMYFUNCTION("IMPORTRANGE(""https://docs.google.com/spreadsheets/d/1SX6NBoVAgQJ6U1MVXOaj8PK2l7WJ3RER9xtqwdhxkhw/edit#gid=346597447"",""เพชรบุรี!J555"")"),0)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IFERROR(__xludf.DUMMYFUNCTION("IMPORTRANGE(""https://docs.google.com/spreadsheets/d/1SX6NBoVAgQJ6U1MVXOaj8PK2l7WJ3RER9xtqwdhxkhw/edit#gid=346597447"",""เพชรบุรี!J556"")"),0)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IFERROR(__xludf.DUMMYFUNCTION("IMPORTRANGE(""https://docs.google.com/spreadsheets/d/1SX6NBoVAgQJ6U1MVXOaj8PK2l7WJ3RER9xtqwdhxkhw/edit#gid=346597447"",""เพชรบุรี!L556"")"),0)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IFERROR(__xludf.DUMMYFUNCTION("IMPORTRANGE(""https://docs.google.com/spreadsheets/d/1SX6NBoVAgQJ6U1MVXOaj8PK2l7WJ3RER9xtqwdhxkhw/edit#gid=346597447"",""เพชรบุรี!M556"")"),0)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IFERROR(__xludf.DUMMYFUNCTION("IMPORTRANGE(""https://docs.google.com/spreadsheets/d/1SX6NBoVAgQJ6U1MVXOaj8PK2l7WJ3RER9xtqwdhxkhw/edit#gid=346597447"",""เพชรบุรี!J557"")"),0)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IFERROR(__xludf.DUMMYFUNCTION("IMPORTRANGE(""https://docs.google.com/spreadsheets/d/1SX6NBoVAgQJ6U1MVXOaj8PK2l7WJ3RER9xtqwdhxkhw/edit#gid=346597447"",""เพชรบุรี!I558"")"),0)</f>
        <v>0</v>
      </c>
      <c r="J663" s="537">
        <f ca="1">IFERROR(__xludf.DUMMYFUNCTION("IMPORTRANGE(""https://docs.google.com/spreadsheets/d/1SX6NBoVAgQJ6U1MVXOaj8PK2l7WJ3RER9xtqwdhxkhw/edit#gid=346597447"",""เพชรบุรี!J558"")"),0)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IFERROR(__xludf.DUMMYFUNCTION("IMPORTRANGE(""https://docs.google.com/spreadsheets/d/1SX6NBoVAgQJ6U1MVXOaj8PK2l7WJ3RER9xtqwdhxkhw/edit#gid=346597447"",""เพชรบุรี!I560"")"),8)</f>
        <v>8</v>
      </c>
      <c r="J665" s="537">
        <f ca="1">IFERROR(__xludf.DUMMYFUNCTION("IMPORTRANGE(""https://docs.google.com/spreadsheets/d/1SX6NBoVAgQJ6U1MVXOaj8PK2l7WJ3RER9xtqwdhxkhw/edit#gid=346597447"",""เพชรบุรี!J560"")"),0)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IFERROR(__xludf.DUMMYFUNCTION("IMPORTRANGE(""https://docs.google.com/spreadsheets/d/1SX6NBoVAgQJ6U1MVXOaj8PK2l7WJ3RER9xtqwdhxkhw/edit#gid=346597447"",""เพชรบุรี!L560"")"),960)</f>
        <v>960</v>
      </c>
      <c r="M665" s="522"/>
      <c r="N665" s="539">
        <f ca="1">IFERROR(__xludf.DUMMYFUNCTION("IMPORTRANGE(""https://docs.google.com/spreadsheets/d/1SX6NBoVAgQJ6U1MVXOaj8PK2l7WJ3RER9xtqwdhxkhw/edit#gid=346597447"",""เพชรบุรี!M560"")"),0)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IFERROR(__xludf.DUMMYFUNCTION("IMPORTRANGE(""https://docs.google.com/spreadsheets/d/1SX6NBoVAgQJ6U1MVXOaj8PK2l7WJ3RER9xtqwdhxkhw/edit#gid=346597447"",""เพชรบุรี!J561"")"),0)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IFERROR(__xludf.DUMMYFUNCTION("IMPORTRANGE(""https://docs.google.com/spreadsheets/d/1SX6NBoVAgQJ6U1MVXOaj8PK2l7WJ3RER9xtqwdhxkhw/edit#gid=346597447"",""เพชรบุรี!J562"")"),0)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IFERROR(__xludf.DUMMYFUNCTION("IMPORTRANGE(""https://docs.google.com/spreadsheets/d/1SX6NBoVAgQJ6U1MVXOaj8PK2l7WJ3RER9xtqwdhxkhw/edit#gid=346597447"",""เพชรบุรี!I563"")"),4)</f>
        <v>4</v>
      </c>
      <c r="J668" s="537">
        <f ca="1">IFERROR(__xludf.DUMMYFUNCTION("IMPORTRANGE(""https://docs.google.com/spreadsheets/d/1SX6NBoVAgQJ6U1MVXOaj8PK2l7WJ3RER9xtqwdhxkhw/edit#gid=346597447"",""เพชรบุรี!J563"")"),0)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IFERROR(__xludf.DUMMYFUNCTION("IMPORTRANGE(""https://docs.google.com/spreadsheets/d/1SX6NBoVAgQJ6U1MVXOaj8PK2l7WJ3RER9xtqwdhxkhw/edit#gid=346597447"",""เพชรบุรี!L563"")"),4960)</f>
        <v>4960</v>
      </c>
      <c r="M668" s="522"/>
      <c r="N668" s="539">
        <f ca="1">IFERROR(__xludf.DUMMYFUNCTION("IMPORTRANGE(""https://docs.google.com/spreadsheets/d/1SX6NBoVAgQJ6U1MVXOaj8PK2l7WJ3RER9xtqwdhxkhw/edit#gid=346597447"",""เพชรบุรี!M563"")"),0)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IFERROR(__xludf.DUMMYFUNCTION("IMPORTRANGE(""https://docs.google.com/spreadsheets/d/1SX6NBoVAgQJ6U1MVXOaj8PK2l7WJ3RER9xtqwdhxkhw/edit#gid=346597447"",""เพชรบุรี!J564"")"),0)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IFERROR(__xludf.DUMMYFUNCTION("IMPORTRANGE(""https://docs.google.com/spreadsheets/d/1SX6NBoVAgQJ6U1MVXOaj8PK2l7WJ3RER9xtqwdhxkhw/edit#gid=346597447"",""เพชรบุรี!J565"")"),0)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IFERROR(__xludf.DUMMYFUNCTION("IMPORTRANGE(""https://docs.google.com/spreadsheets/d/1SX6NBoVAgQJ6U1MVXOaj8PK2l7WJ3RER9xtqwdhxkhw/edit#gid=346597447"",""เพชรบุรี!I566"")"),210)</f>
        <v>210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IFERROR(__xludf.DUMMYFUNCTION("IMPORTRANGE(""https://docs.google.com/spreadsheets/d/1SX6NBoVAgQJ6U1MVXOaj8PK2l7WJ3RER9xtqwdhxkhw/edit#gid=346597447"",""เพชรบุรี!L566"")"),16800)</f>
        <v>16800</v>
      </c>
      <c r="M671" s="522"/>
      <c r="N671" s="539">
        <f ca="1">IFERROR(__xludf.DUMMYFUNCTION("IMPORTRANGE(""https://docs.google.com/spreadsheets/d/1SX6NBoVAgQJ6U1MVXOaj8PK2l7WJ3RER9xtqwdhxkhw/edit#gid=346597447"",""เพชรบุรี!M566"")"),0)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IFERROR(__xludf.DUMMYFUNCTION("IMPORTRANGE(""https://docs.google.com/spreadsheets/d/1SX6NBoVAgQJ6U1MVXOaj8PK2l7WJ3RER9xtqwdhxkhw/edit#gid=346597447"",""เพชรบุรี!J567"")"),0)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IFERROR(__xludf.DUMMYFUNCTION("IMPORTRANGE(""https://docs.google.com/spreadsheets/d/1SX6NBoVAgQJ6U1MVXOaj8PK2l7WJ3RER9xtqwdhxkhw/edit#gid=346597447"",""เพชรบุรี!J568"")"),0)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IFERROR(__xludf.DUMMYFUNCTION("IMPORTRANGE(""https://docs.google.com/spreadsheets/d/1SX6NBoVAgQJ6U1MVXOaj8PK2l7WJ3RER9xtqwdhxkhw/edit#gid=346597447"",""เพชรบุรี!J569"")"),0)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IFERROR(__xludf.DUMMYFUNCTION("IMPORTRANGE(""https://docs.google.com/spreadsheets/d/1SX6NBoVAgQJ6U1MVXOaj8PK2l7WJ3RER9xtqwdhxkhw/edit#gid=346597447"",""เพชรบุรี!J570"")"),0)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IFERROR(__xludf.DUMMYFUNCTION("IMPORTRANGE(""https://docs.google.com/spreadsheets/d/1SX6NBoVAgQJ6U1MVXOaj8PK2l7WJ3RER9xtqwdhxkhw/edit#gid=346597447"",""เพชรบุรี!J571"")"),0)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IFERROR(__xludf.DUMMYFUNCTION("IMPORTRANGE(""https://docs.google.com/spreadsheets/d/1SX6NBoVAgQJ6U1MVXOaj8PK2l7WJ3RER9xtqwdhxkhw/edit#gid=346597447"",""เพชรบุรี!J572"")"),0)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3098494</v>
      </c>
      <c r="M8" s="23">
        <f t="shared" ca="1" si="0"/>
        <v>2073650</v>
      </c>
      <c r="N8" s="23">
        <f t="shared" ca="1" si="0"/>
        <v>2449249.3899999997</v>
      </c>
      <c r="O8" s="22">
        <f t="shared" ref="O8:O16" ca="1" si="1">IF(L8&gt;0,N8*100/L8,0)</f>
        <v>79.046446112208045</v>
      </c>
      <c r="P8" s="22">
        <f t="shared" ref="P8:P16" ca="1" si="2">IF(M8&gt;0,N8*100/M8,0)</f>
        <v>118.11295975695029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3098494</v>
      </c>
      <c r="M10" s="30">
        <f t="shared" ca="1" si="4"/>
        <v>2073650</v>
      </c>
      <c r="N10" s="30">
        <f t="shared" ca="1" si="4"/>
        <v>2449249.3899999997</v>
      </c>
      <c r="O10" s="29">
        <f t="shared" ca="1" si="1"/>
        <v>79.046446112208045</v>
      </c>
      <c r="P10" s="29">
        <f t="shared" ca="1" si="2"/>
        <v>118.11295975695029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2951494</v>
      </c>
      <c r="M12" s="38">
        <f t="shared" ca="1" si="6"/>
        <v>1926650</v>
      </c>
      <c r="N12" s="38">
        <f t="shared" ca="1" si="6"/>
        <v>2302249.3899999997</v>
      </c>
      <c r="O12" s="38">
        <f t="shared" ca="1" si="1"/>
        <v>78.002848387968925</v>
      </c>
      <c r="P12" s="38">
        <f t="shared" ca="1" si="2"/>
        <v>119.49494666908882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1207000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1744494</v>
      </c>
      <c r="M14" s="38">
        <f t="shared" si="8"/>
        <v>0</v>
      </c>
      <c r="N14" s="38">
        <f t="shared" ca="1" si="8"/>
        <v>788503</v>
      </c>
      <c r="O14" s="38">
        <f t="shared" ca="1" si="1"/>
        <v>45.199524905216066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1996045</v>
      </c>
      <c r="M18" s="23">
        <f t="shared" ca="1" si="11"/>
        <v>2073650</v>
      </c>
      <c r="N18" s="23">
        <f t="shared" ca="1" si="11"/>
        <v>1660746.39</v>
      </c>
      <c r="O18" s="22">
        <f t="shared" ref="O18:O20" ca="1" si="12">IF(L18&gt;0,N18*100/L18,0)</f>
        <v>83.20185116067023</v>
      </c>
      <c r="P18" s="22">
        <f t="shared" ref="P18:P26" ca="1" si="13">IF(M18&gt;0,N18*100/M18,0)</f>
        <v>80.088076097702114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1996045</v>
      </c>
      <c r="M20" s="30">
        <f t="shared" ca="1" si="15"/>
        <v>2073650</v>
      </c>
      <c r="N20" s="30">
        <f t="shared" ca="1" si="15"/>
        <v>1660746.39</v>
      </c>
      <c r="O20" s="29">
        <f t="shared" ca="1" si="12"/>
        <v>83.20185116067023</v>
      </c>
      <c r="P20" s="29">
        <f t="shared" ca="1" si="13"/>
        <v>80.088076097702114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1849045</v>
      </c>
      <c r="M22" s="41">
        <f t="shared" ca="1" si="18"/>
        <v>1926650</v>
      </c>
      <c r="N22" s="38">
        <f t="shared" ca="1" si="18"/>
        <v>1513746.39</v>
      </c>
      <c r="O22" s="38">
        <f t="shared" ca="1" si="17"/>
        <v>81.866389947243036</v>
      </c>
      <c r="P22" s="38">
        <f t="shared" ca="1" si="13"/>
        <v>78.568831391275012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1207000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642045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1102449</v>
      </c>
      <c r="M28" s="23">
        <f t="shared" si="23"/>
        <v>0</v>
      </c>
      <c r="N28" s="23">
        <f t="shared" ca="1" si="23"/>
        <v>788503</v>
      </c>
      <c r="O28" s="22">
        <f t="shared" ref="O28:O30" ca="1" si="24">IF(L28&gt;0,N28*100/L28,0)</f>
        <v>71.522855025493243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1102449</v>
      </c>
      <c r="M30" s="30">
        <f t="shared" si="27"/>
        <v>0</v>
      </c>
      <c r="N30" s="30">
        <f t="shared" ca="1" si="27"/>
        <v>788503</v>
      </c>
      <c r="O30" s="29">
        <f t="shared" ca="1" si="24"/>
        <v>71.522855025493243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1102449</v>
      </c>
      <c r="M32" s="38">
        <f t="shared" si="30"/>
        <v>0</v>
      </c>
      <c r="N32" s="38">
        <f t="shared" ca="1" si="30"/>
        <v>788503</v>
      </c>
      <c r="O32" s="38">
        <f t="shared" ca="1" si="29"/>
        <v>71.522855025493243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1102449</v>
      </c>
      <c r="M34" s="38">
        <f t="shared" si="32"/>
        <v>0</v>
      </c>
      <c r="N34" s="38">
        <f t="shared" ca="1" si="32"/>
        <v>788503</v>
      </c>
      <c r="O34" s="38">
        <f t="shared" ca="1" si="29"/>
        <v>71.522855025493243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2073650</v>
      </c>
      <c r="N37" s="54">
        <f t="shared" ca="1" si="33"/>
        <v>1660746.39</v>
      </c>
      <c r="O37" s="55">
        <f t="shared" ca="1" si="29"/>
        <v>83.20185116067023</v>
      </c>
      <c r="P37" s="55">
        <f t="shared" ca="1" si="25"/>
        <v>80.088076097702114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327300</v>
      </c>
      <c r="N41" s="78">
        <f t="shared" ca="1" si="34"/>
        <v>259630.89</v>
      </c>
      <c r="O41" s="77">
        <f t="shared" ref="O41:O43" ca="1" si="35">IF(L41&gt;0,N41*100/L41,0)</f>
        <v>82.737695984703635</v>
      </c>
      <c r="P41" s="77">
        <f t="shared" ref="P41:P43" ca="1" si="36">IF(M41&gt;0,N41*100/M41,0)</f>
        <v>79.325050412465629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327300</v>
      </c>
      <c r="N43" s="78">
        <f t="shared" ca="1" si="38"/>
        <v>259630.89</v>
      </c>
      <c r="O43" s="77">
        <f t="shared" ca="1" si="35"/>
        <v>82.737695984703635</v>
      </c>
      <c r="P43" s="77">
        <f t="shared" ca="1" si="36"/>
        <v>79.325050412465629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313800</v>
      </c>
      <c r="M45" s="49">
        <f ca="1">IFERROR(__xludf.DUMMYFUNCTION("IMPORTRANGE(""https://docs.google.com/spreadsheets/d/1Yj_ptqi66GCucihVvJfMjLAmec39IyEx_6qawtMGysU/edit?usp=sharing"",""สบก!Q72"")"),327300)</f>
        <v>327300</v>
      </c>
      <c r="N45" s="49">
        <f ca="1">IFERROR(__xludf.DUMMYFUNCTION("IMPORTRANGE(""https://docs.google.com/spreadsheets/d/1Yj_ptqi66GCucihVvJfMjLAmec39IyEx_6qawtMGysU/edit?usp=sharing"",""สบก!R72"")"),259630.89)</f>
        <v>259630.89</v>
      </c>
      <c r="O45" s="38">
        <f ca="1">IF(L45&gt;0,N45*100/L45,0)</f>
        <v>82.737695984703635</v>
      </c>
      <c r="P45" s="38">
        <f ca="1">IF(M45&gt;0,N45*100/M45,0)</f>
        <v>79.325050412465629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IFERROR(__xludf.DUMMYFUNCTION("IMPORTRANGE(""https://docs.google.com/spreadsheets/d/1Yj_ptqi66GCucihVvJfMjLAmec39IyEx_6qawtMGysU/edit?usp=sharing"",""สบก!M72"")"),313800)</f>
        <v>313800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IFERROR(__xludf.DUMMYFUNCTION("IMPORTRANGE(""https://docs.google.com/spreadsheets/d/1Yj_ptqi66GCucihVvJfMjLAmec39IyEx_6qawtMGysU/edit?usp=sharing"",""สบก!O72"")"),0)</f>
        <v>0</v>
      </c>
      <c r="M49" s="49"/>
      <c r="N49" s="49">
        <f ca="1">IFERROR(__xludf.DUMMYFUNCTION("IMPORTRANGE(""https://docs.google.com/spreadsheets/d/1Yj_ptqi66GCucihVvJfMjLAmec39IyEx_6qawtMGysU/edit?usp=sharing"",""สบก!S72"")"),0)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280000</v>
      </c>
      <c r="M53" s="121">
        <f t="shared" ca="1" si="39"/>
        <v>286265</v>
      </c>
      <c r="N53" s="121">
        <f t="shared" ca="1" si="39"/>
        <v>279740</v>
      </c>
      <c r="O53" s="120">
        <f t="shared" ref="O53:O55" ca="1" si="40">IF(L53&gt;0,N53*100/L53,0)</f>
        <v>99.907142857142858</v>
      </c>
      <c r="P53" s="120">
        <f t="shared" ref="P53:P55" ca="1" si="41">IF(M53&gt;0,N53*100/M53,0)</f>
        <v>97.720643459731363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280000</v>
      </c>
      <c r="M55" s="121">
        <f t="shared" ca="1" si="43"/>
        <v>286265</v>
      </c>
      <c r="N55" s="121">
        <f t="shared" ca="1" si="43"/>
        <v>279740</v>
      </c>
      <c r="O55" s="120">
        <f t="shared" ca="1" si="40"/>
        <v>99.907142857142858</v>
      </c>
      <c r="P55" s="120">
        <f t="shared" ca="1" si="41"/>
        <v>97.720643459731363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280000</v>
      </c>
      <c r="M57" s="49">
        <f ca="1">IFERROR(__xludf.DUMMYFUNCTION("IMPORTRANGE(""https://docs.google.com/spreadsheets/d/1Yj_ptqi66GCucihVvJfMjLAmec39IyEx_6qawtMGysU/edit?usp=sharing"",""สบก!Z72"")"),286265)</f>
        <v>286265</v>
      </c>
      <c r="N57" s="49">
        <f ca="1">IFERROR(__xludf.DUMMYFUNCTION("IMPORTRANGE(""https://docs.google.com/spreadsheets/d/1Yj_ptqi66GCucihVvJfMjLAmec39IyEx_6qawtMGysU/edit?usp=sharing"",""สบก!AA72"")"),279740)</f>
        <v>279740</v>
      </c>
      <c r="O57" s="38">
        <f ca="1">IF(L57&gt;0,N57*100/L57,0)</f>
        <v>99.907142857142858</v>
      </c>
      <c r="P57" s="38">
        <f ca="1">IF(M57&gt;0,N57*100/M57,0)</f>
        <v>97.720643459731363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IFERROR(__xludf.DUMMYFUNCTION("IMPORTRANGE(""https://docs.google.com/spreadsheets/d/1Yj_ptqi66GCucihVvJfMjLAmec39IyEx_6qawtMGysU/edit?usp=sharing"",""สบก!V72"")"),280000)</f>
        <v>280000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IFERROR(__xludf.DUMMYFUNCTION("IMPORTRANGE(""https://docs.google.com/spreadsheets/d/1Yj_ptqi66GCucihVvJfMjLAmec39IyEx_6qawtMGysU/edit?usp=sharing"",""สบก!X72"")"),0)</f>
        <v>0</v>
      </c>
      <c r="M61" s="49"/>
      <c r="N61" s="49">
        <f ca="1">IFERROR(__xludf.DUMMYFUNCTION("IMPORTRANGE(""https://docs.google.com/spreadsheets/d/1Yj_ptqi66GCucihVvJfMjLAmec39IyEx_6qawtMGysU/edit?usp=sharing"",""สบก!AB72"")"),0)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IFERROR(__xludf.DUMMYFUNCTION("IMPORTRANGE(""https://docs.google.com/spreadsheets/d/1SX6NBoVAgQJ6U1MVXOaj8PK2l7WJ3RER9xtqwdhxkhw/edit?usp=sharing"",""ระยอง!I9"")"),0)</f>
        <v>0</v>
      </c>
      <c r="J64" s="142">
        <f ca="1">IFERROR(__xludf.DUMMYFUNCTION("IMPORTRANGE(""https://docs.google.com/spreadsheets/d/1SX6NBoVAgQJ6U1MVXOaj8PK2l7WJ3RER9xtqwdhxkhw/edit?usp=sharing"",""ระยอง!J9"")"),0)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IFERROR(__xludf.DUMMYFUNCTION("IMPORTRANGE(""https://docs.google.com/spreadsheets/d/1SX6NBoVAgQJ6U1MVXOaj8PK2l7WJ3RER9xtqwdhxkhw/edit?usp=sharing"",""ระยอง!I10"")"),0)</f>
        <v>0</v>
      </c>
      <c r="J65" s="142">
        <f ca="1">IFERROR(__xludf.DUMMYFUNCTION("IMPORTRANGE(""https://docs.google.com/spreadsheets/d/1SX6NBoVAgQJ6U1MVXOaj8PK2l7WJ3RER9xtqwdhxkhw/edit?usp=sharing"",""ระยอง!J10"")"),0)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11340</v>
      </c>
      <c r="N66" s="152">
        <f t="shared" ca="1" si="45"/>
        <v>11340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11340</v>
      </c>
      <c r="N68" s="157">
        <f t="shared" ca="1" si="49"/>
        <v>11340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IFERROR(__xludf.DUMMYFUNCTION("IMPORTRANGE(""https://docs.google.com/spreadsheets/d/1Yj_ptqi66GCucihVvJfMjLAmec39IyEx_6qawtMGysU/edit?usp=sharing"",""สบก!AI72"")"),11340)</f>
        <v>11340</v>
      </c>
      <c r="N70" s="169">
        <f ca="1">IFERROR(__xludf.DUMMYFUNCTION("IMPORTRANGE(""https://docs.google.com/spreadsheets/d/1Yj_ptqi66GCucihVvJfMjLAmec39IyEx_6qawtMGysU/edit?usp=sharing"",""สบก!AJ72"")"),11340)</f>
        <v>11340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IFERROR(__xludf.DUMMYFUNCTION("IMPORTRANGE(""https://docs.google.com/spreadsheets/d/1Yj_ptqi66GCucihVvJfMjLAmec39IyEx_6qawtMGysU/edit?usp=sharing"",""สบก!AG72"")"),0)</f>
        <v>0</v>
      </c>
      <c r="M74" s="49"/>
      <c r="N74" s="49">
        <f ca="1">IFERROR(__xludf.DUMMYFUNCTION("IMPORTRANGE(""https://docs.google.com/spreadsheets/d/1Yj_ptqi66GCucihVvJfMjLAmec39IyEx_6qawtMGysU/edit?usp=sharing"",""สบก!AK72"")"),0)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IFERROR(__xludf.DUMMYFUNCTION("IMPORTRANGE(""https://docs.google.com/spreadsheets/d/1SX6NBoVAgQJ6U1MVXOaj8PK2l7WJ3RER9xtqwdhxkhw/edit?usp=sharing"",""ระยอง!J16"")"),0)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IFERROR(__xludf.DUMMYFUNCTION("IMPORTRANGE(""https://docs.google.com/spreadsheets/d/1SX6NBoVAgQJ6U1MVXOaj8PK2l7WJ3RER9xtqwdhxkhw/edit?usp=sharing"",""ระยอง!J17"")"),0)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IFERROR(__xludf.DUMMYFUNCTION("IMPORTRANGE(""https://docs.google.com/spreadsheets/d/1SX6NBoVAgQJ6U1MVXOaj8PK2l7WJ3RER9xtqwdhxkhw/edit?usp=sharing"",""ระยอง!J18"")"),0)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IFERROR(__xludf.DUMMYFUNCTION("IMPORTRANGE(""https://docs.google.com/spreadsheets/d/1SX6NBoVAgQJ6U1MVXOaj8PK2l7WJ3RER9xtqwdhxkhw/edit?usp=sharing"",""ระยอง!J19"")"),0)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IFERROR(__xludf.DUMMYFUNCTION("IMPORTRANGE(""https://docs.google.com/spreadsheets/d/1SX6NBoVAgQJ6U1MVXOaj8PK2l7WJ3RER9xtqwdhxkhw/edit?usp=sharing"",""ระยอง!I20"")"),0)</f>
        <v>0</v>
      </c>
      <c r="J80" s="201">
        <f ca="1">IFERROR(__xludf.DUMMYFUNCTION("IMPORTRANGE(""https://docs.google.com/spreadsheets/d/1SX6NBoVAgQJ6U1MVXOaj8PK2l7WJ3RER9xtqwdhxkhw/edit?usp=sharing"",""ระยอง!J20"")"),0)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IFERROR(__xludf.DUMMYFUNCTION("IMPORTRANGE(""https://docs.google.com/spreadsheets/d/1SX6NBoVAgQJ6U1MVXOaj8PK2l7WJ3RER9xtqwdhxkhw/edit?usp=sharing"",""ระยอง!I21"")"),0)</f>
        <v>0</v>
      </c>
      <c r="J81" s="201">
        <f ca="1">IFERROR(__xludf.DUMMYFUNCTION("IMPORTRANGE(""https://docs.google.com/spreadsheets/d/1SX6NBoVAgQJ6U1MVXOaj8PK2l7WJ3RER9xtqwdhxkhw/edit?usp=sharing"",""ระยอง!J21"")"),0)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IFERROR(__xludf.DUMMYFUNCTION("IMPORTRANGE(""https://docs.google.com/spreadsheets/d/1SX6NBoVAgQJ6U1MVXOaj8PK2l7WJ3RER9xtqwdhxkhw/edit?usp=sharing"",""ระยอง!I22"")"),0)</f>
        <v>0</v>
      </c>
      <c r="J82" s="204">
        <f ca="1">IFERROR(__xludf.DUMMYFUNCTION("IMPORTRANGE(""https://docs.google.com/spreadsheets/d/1SX6NBoVAgQJ6U1MVXOaj8PK2l7WJ3RER9xtqwdhxkhw/edit?usp=sharing"",""ระยอง!J22"")"),0)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IFERROR(__xludf.DUMMYFUNCTION("IMPORTRANGE(""https://docs.google.com/spreadsheets/d/1SX6NBoVAgQJ6U1MVXOaj8PK2l7WJ3RER9xtqwdhxkhw/edit?usp=sharing"",""ระยอง!I23"")"),0)</f>
        <v>0</v>
      </c>
      <c r="J83" s="204">
        <f ca="1">IFERROR(__xludf.DUMMYFUNCTION("IMPORTRANGE(""https://docs.google.com/spreadsheets/d/1SX6NBoVAgQJ6U1MVXOaj8PK2l7WJ3RER9xtqwdhxkhw/edit?usp=sharing"",""ระยอง!J23"")"),0)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IFERROR(__xludf.DUMMYFUNCTION("IMPORTRANGE(""https://docs.google.com/spreadsheets/d/1SX6NBoVAgQJ6U1MVXOaj8PK2l7WJ3RER9xtqwdhxkhw/edit?usp=sharing"",""ระยอง!I24"")"),0)</f>
        <v>0</v>
      </c>
      <c r="J84" s="189">
        <f ca="1">IFERROR(__xludf.DUMMYFUNCTION("IMPORTRANGE(""https://docs.google.com/spreadsheets/d/1SX6NBoVAgQJ6U1MVXOaj8PK2l7WJ3RER9xtqwdhxkhw/edit?usp=sharing"",""ระยอง!J24"")"),0)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IFERROR(__xludf.DUMMYFUNCTION("IMPORTRANGE(""https://docs.google.com/spreadsheets/d/1SX6NBoVAgQJ6U1MVXOaj8PK2l7WJ3RER9xtqwdhxkhw/edit?usp=sharing"",""ระยอง!I25"")"),0)</f>
        <v>0</v>
      </c>
      <c r="J85" s="189">
        <f ca="1">IFERROR(__xludf.DUMMYFUNCTION("IMPORTRANGE(""https://docs.google.com/spreadsheets/d/1SX6NBoVAgQJ6U1MVXOaj8PK2l7WJ3RER9xtqwdhxkhw/edit?usp=sharing"",""ระยอง!J25"")"),0)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IFERROR(__xludf.DUMMYFUNCTION("IMPORTRANGE(""https://docs.google.com/spreadsheets/d/1SX6NBoVAgQJ6U1MVXOaj8PK2l7WJ3RER9xtqwdhxkhw/edit?usp=sharing"",""ระยอง!I26"")"),0)</f>
        <v>0</v>
      </c>
      <c r="J86" s="204">
        <f ca="1">IFERROR(__xludf.DUMMYFUNCTION("IMPORTRANGE(""https://docs.google.com/spreadsheets/d/1SX6NBoVAgQJ6U1MVXOaj8PK2l7WJ3RER9xtqwdhxkhw/edit?usp=sharing"",""ระยอง!J26"")"),0)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IFERROR(__xludf.DUMMYFUNCTION("IMPORTRANGE(""https://docs.google.com/spreadsheets/d/1SX6NBoVAgQJ6U1MVXOaj8PK2l7WJ3RER9xtqwdhxkhw/edit?usp=sharing"",""ระยอง!I27"")"),0)</f>
        <v>0</v>
      </c>
      <c r="J87" s="204">
        <f ca="1">IFERROR(__xludf.DUMMYFUNCTION("IMPORTRANGE(""https://docs.google.com/spreadsheets/d/1SX6NBoVAgQJ6U1MVXOaj8PK2l7WJ3RER9xtqwdhxkhw/edit?usp=sharing"",""ระยอง!J27"")"),0)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IFERROR(__xludf.DUMMYFUNCTION("IMPORTRANGE(""https://docs.google.com/spreadsheets/d/1SX6NBoVAgQJ6U1MVXOaj8PK2l7WJ3RER9xtqwdhxkhw/edit?usp=sharing"",""ระยอง!I28"")"),0)</f>
        <v>0</v>
      </c>
      <c r="J88" s="204">
        <f ca="1">IFERROR(__xludf.DUMMYFUNCTION("IMPORTRANGE(""https://docs.google.com/spreadsheets/d/1SX6NBoVAgQJ6U1MVXOaj8PK2l7WJ3RER9xtqwdhxkhw/edit?usp=sharing"",""ระยอง!J28"")"),0)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IFERROR(__xludf.DUMMYFUNCTION("IMPORTRANGE(""https://docs.google.com/spreadsheets/d/1SX6NBoVAgQJ6U1MVXOaj8PK2l7WJ3RER9xtqwdhxkhw/edit?usp=sharing"",""ระยอง!J29"")"),0)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IFERROR(__xludf.DUMMYFUNCTION("IMPORTRANGE(""https://docs.google.com/spreadsheets/d/1SX6NBoVAgQJ6U1MVXOaj8PK2l7WJ3RER9xtqwdhxkhw/edit?usp=sharing"",""ระยอง!J30"")"),0)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IFERROR(__xludf.DUMMYFUNCTION("IMPORTRANGE(""https://docs.google.com/spreadsheets/d/1SX6NBoVAgQJ6U1MVXOaj8PK2l7WJ3RER9xtqwdhxkhw/edit?usp=sharing"",""ระยอง!I32"")"),0)</f>
        <v>0</v>
      </c>
      <c r="J92" s="142">
        <f ca="1">IFERROR(__xludf.DUMMYFUNCTION("IMPORTRANGE(""https://docs.google.com/spreadsheets/d/1SX6NBoVAgQJ6U1MVXOaj8PK2l7WJ3RER9xtqwdhxkhw/edit?usp=sharing"",""ระยอง!J32"")"),0)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IFERROR(__xludf.DUMMYFUNCTION("IMPORTRANGE(""https://docs.google.com/spreadsheets/d/1SX6NBoVAgQJ6U1MVXOaj8PK2l7WJ3RER9xtqwdhxkhw/edit?usp=sharing"",""ระยอง!I33"")"),0)</f>
        <v>0</v>
      </c>
      <c r="J93" s="142">
        <f ca="1">IFERROR(__xludf.DUMMYFUNCTION("IMPORTRANGE(""https://docs.google.com/spreadsheets/d/1SX6NBoVAgQJ6U1MVXOaj8PK2l7WJ3RER9xtqwdhxkhw/edit?usp=sharing"",""ระยอง!J33"")"),0)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IFERROR(__xludf.DUMMYFUNCTION("IMPORTRANGE(""https://docs.google.com/spreadsheets/d/1Yj_ptqi66GCucihVvJfMjLAmec39IyEx_6qawtMGysU/edit?usp=sharing"",""สบก!AR72"")"),0)</f>
        <v>0</v>
      </c>
      <c r="N98" s="169">
        <f ca="1">IFERROR(__xludf.DUMMYFUNCTION("IMPORTRANGE(""https://docs.google.com/spreadsheets/d/1Yj_ptqi66GCucihVvJfMjLAmec39IyEx_6qawtMGysU/edit?usp=sharing"",""สบก!AS72"")"),0)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IFERROR(__xludf.DUMMYFUNCTION("IMPORTRANGE(""https://docs.google.com/spreadsheets/d/1Yj_ptqi66GCucihVvJfMjLAmec39IyEx_6qawtMGysU/edit?usp=sharing"",""สบก!AP72"")"),0)</f>
        <v>0</v>
      </c>
      <c r="M102" s="49"/>
      <c r="N102" s="49">
        <f ca="1">IFERROR(__xludf.DUMMYFUNCTION("IMPORTRANGE(""https://docs.google.com/spreadsheets/d/1Yj_ptqi66GCucihVvJfMjLAmec39IyEx_6qawtMGysU/edit?usp=sharing"",""สบก!AT72"")"),0)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IFERROR(__xludf.DUMMYFUNCTION("IMPORTRANGE(""https://docs.google.com/spreadsheets/d/1SX6NBoVAgQJ6U1MVXOaj8PK2l7WJ3RER9xtqwdhxkhw/edit?usp=sharing"",""ระยอง!J39"")"),0)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IFERROR(__xludf.DUMMYFUNCTION("IMPORTRANGE(""https://docs.google.com/spreadsheets/d/1SX6NBoVAgQJ6U1MVXOaj8PK2l7WJ3RER9xtqwdhxkhw/edit?usp=sharing"",""ระยอง!J40"")"),0)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IFERROR(__xludf.DUMMYFUNCTION("IMPORTRANGE(""https://docs.google.com/spreadsheets/d/1SX6NBoVAgQJ6U1MVXOaj8PK2l7WJ3RER9xtqwdhxkhw/edit?usp=sharing"",""ระยอง!J41"")"),0)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IFERROR(__xludf.DUMMYFUNCTION("IMPORTRANGE(""https://docs.google.com/spreadsheets/d/1SX6NBoVAgQJ6U1MVXOaj8PK2l7WJ3RER9xtqwdhxkhw/edit?usp=sharing"",""ระยอง!J42"")"),0)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IFERROR(__xludf.DUMMYFUNCTION("IMPORTRANGE(""https://docs.google.com/spreadsheets/d/1SX6NBoVAgQJ6U1MVXOaj8PK2l7WJ3RER9xtqwdhxkhw/edit?usp=sharing"",""ระยอง!I43"")"),0)</f>
        <v>0</v>
      </c>
      <c r="J108" s="204">
        <f ca="1">IFERROR(__xludf.DUMMYFUNCTION("IMPORTRANGE(""https://docs.google.com/spreadsheets/d/1SX6NBoVAgQJ6U1MVXOaj8PK2l7WJ3RER9xtqwdhxkhw/edit?usp=sharing"",""ระยอง!J43"")"),0)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IFERROR(__xludf.DUMMYFUNCTION("IMPORTRANGE(""https://docs.google.com/spreadsheets/d/1SX6NBoVAgQJ6U1MVXOaj8PK2l7WJ3RER9xtqwdhxkhw/edit?usp=sharing"",""ระยอง!I44"")"),0)</f>
        <v>0</v>
      </c>
      <c r="J109" s="204">
        <f ca="1">IFERROR(__xludf.DUMMYFUNCTION("IMPORTRANGE(""https://docs.google.com/spreadsheets/d/1SX6NBoVAgQJ6U1MVXOaj8PK2l7WJ3RER9xtqwdhxkhw/edit?usp=sharing"",""ระยอง!J44"")"),0)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IFERROR(__xludf.DUMMYFUNCTION("IMPORTRANGE(""https://docs.google.com/spreadsheets/d/1SX6NBoVAgQJ6U1MVXOaj8PK2l7WJ3RER9xtqwdhxkhw/edit?usp=sharing"",""ระยอง!I45"")"),0)</f>
        <v>0</v>
      </c>
      <c r="J110" s="204">
        <f ca="1">IFERROR(__xludf.DUMMYFUNCTION("IMPORTRANGE(""https://docs.google.com/spreadsheets/d/1SX6NBoVAgQJ6U1MVXOaj8PK2l7WJ3RER9xtqwdhxkhw/edit?usp=sharing"",""ระยอง!J45"")"),0)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IFERROR(__xludf.DUMMYFUNCTION("IMPORTRANGE(""https://docs.google.com/spreadsheets/d/1SX6NBoVAgQJ6U1MVXOaj8PK2l7WJ3RER9xtqwdhxkhw/edit?usp=sharing"",""ระยอง!I46"")"),0)</f>
        <v>0</v>
      </c>
      <c r="J111" s="204">
        <f ca="1">IFERROR(__xludf.DUMMYFUNCTION("IMPORTRANGE(""https://docs.google.com/spreadsheets/d/1SX6NBoVAgQJ6U1MVXOaj8PK2l7WJ3RER9xtqwdhxkhw/edit?usp=sharing"",""ระยอง!J46"")"),0)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IFERROR(__xludf.DUMMYFUNCTION("IMPORTRANGE(""https://docs.google.com/spreadsheets/d/1SX6NBoVAgQJ6U1MVXOaj8PK2l7WJ3RER9xtqwdhxkhw/edit?usp=sharing"",""ระยอง!I47"")"),0)</f>
        <v>0</v>
      </c>
      <c r="J112" s="204">
        <f ca="1">IFERROR(__xludf.DUMMYFUNCTION("IMPORTRANGE(""https://docs.google.com/spreadsheets/d/1SX6NBoVAgQJ6U1MVXOaj8PK2l7WJ3RER9xtqwdhxkhw/edit?usp=sharing"",""ระยอง!J47"")"),0)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IFERROR(__xludf.DUMMYFUNCTION("IMPORTRANGE(""https://docs.google.com/spreadsheets/d/1SX6NBoVAgQJ6U1MVXOaj8PK2l7WJ3RER9xtqwdhxkhw/edit?usp=sharing"",""ระยอง!I48"")"),0)</f>
        <v>0</v>
      </c>
      <c r="J113" s="204">
        <f ca="1">IFERROR(__xludf.DUMMYFUNCTION("IMPORTRANGE(""https://docs.google.com/spreadsheets/d/1SX6NBoVAgQJ6U1MVXOaj8PK2l7WJ3RER9xtqwdhxkhw/edit?usp=sharing"",""ระยอง!J48"")"),0)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IFERROR(__xludf.DUMMYFUNCTION("IMPORTRANGE(""https://docs.google.com/spreadsheets/d/1SX6NBoVAgQJ6U1MVXOaj8PK2l7WJ3RER9xtqwdhxkhw/edit?usp=sharing"",""ระยอง!J49"")"),0)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IFERROR(__xludf.DUMMYFUNCTION("IMPORTRANGE(""https://docs.google.com/spreadsheets/d/1SX6NBoVAgQJ6U1MVXOaj8PK2l7WJ3RER9xtqwdhxkhw/edit?usp=sharing"",""ระยอง!J50"")"),0)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IFERROR(__xludf.DUMMYFUNCTION("IMPORTRANGE(""https://docs.google.com/spreadsheets/d/1SX6NBoVAgQJ6U1MVXOaj8PK2l7WJ3RER9xtqwdhxkhw/edit?usp=sharing"",""ระยอง!I52"")"),0)</f>
        <v>0</v>
      </c>
      <c r="J117" s="142">
        <f ca="1">IFERROR(__xludf.DUMMYFUNCTION("IMPORTRANGE(""https://docs.google.com/spreadsheets/d/1SX6NBoVAgQJ6U1MVXOaj8PK2l7WJ3RER9xtqwdhxkhw/edit?usp=sharing"",""ระยอง!J52"")"),0)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IFERROR(__xludf.DUMMYFUNCTION("IMPORTRANGE(""https://docs.google.com/spreadsheets/d/1Yj_ptqi66GCucihVvJfMjLAmec39IyEx_6qawtMGysU/edit?usp=sharing"",""สบก!BA72"")"),0)</f>
        <v>0</v>
      </c>
      <c r="N122" s="169">
        <f ca="1">IFERROR(__xludf.DUMMYFUNCTION("IMPORTRANGE(""https://docs.google.com/spreadsheets/d/1Yj_ptqi66GCucihVvJfMjLAmec39IyEx_6qawtMGysU/edit?usp=sharing"",""สบก!BB72"")"),0)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IFERROR(__xludf.DUMMYFUNCTION("IMPORTRANGE(""https://docs.google.com/spreadsheets/d/1Yj_ptqi66GCucihVvJfMjLAmec39IyEx_6qawtMGysU/edit?usp=sharing"",""สบก!AY72"")"),0)</f>
        <v>0</v>
      </c>
      <c r="M126" s="49"/>
      <c r="N126" s="49">
        <f ca="1">IFERROR(__xludf.DUMMYFUNCTION("IMPORTRANGE(""https://docs.google.com/spreadsheets/d/1Yj_ptqi66GCucihVvJfMjLAmec39IyEx_6qawtMGysU/edit?usp=sharing"",""สบก!BC72"")"),0)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IFERROR(__xludf.DUMMYFUNCTION("IMPORTRANGE(""https://docs.google.com/spreadsheets/d/1SX6NBoVAgQJ6U1MVXOaj8PK2l7WJ3RER9xtqwdhxkhw/edit?usp=sharing"",""ระยอง!J58"")"),0)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IFERROR(__xludf.DUMMYFUNCTION("IMPORTRANGE(""https://docs.google.com/spreadsheets/d/1SX6NBoVAgQJ6U1MVXOaj8PK2l7WJ3RER9xtqwdhxkhw/edit?usp=sharing"",""ระยอง!J59"")"),0)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IFERROR(__xludf.DUMMYFUNCTION("IMPORTRANGE(""https://docs.google.com/spreadsheets/d/1SX6NBoVAgQJ6U1MVXOaj8PK2l7WJ3RER9xtqwdhxkhw/edit?usp=sharing"",""ระยอง!J60"")"),0)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IFERROR(__xludf.DUMMYFUNCTION("IMPORTRANGE(""https://docs.google.com/spreadsheets/d/1SX6NBoVAgQJ6U1MVXOaj8PK2l7WJ3RER9xtqwdhxkhw/edit?usp=sharing"",""ระยอง!J61"")"),0)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IFERROR(__xludf.DUMMYFUNCTION("IMPORTRANGE(""https://docs.google.com/spreadsheets/d/1SX6NBoVAgQJ6U1MVXOaj8PK2l7WJ3RER9xtqwdhxkhw/edit?usp=sharing"",""ระยอง!I62"")"),0)</f>
        <v>0</v>
      </c>
      <c r="J132" s="204">
        <f ca="1">IFERROR(__xludf.DUMMYFUNCTION("IMPORTRANGE(""https://docs.google.com/spreadsheets/d/1SX6NBoVAgQJ6U1MVXOaj8PK2l7WJ3RER9xtqwdhxkhw/edit?usp=sharing"",""ระยอง!J62"")"),0)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IFERROR(__xludf.DUMMYFUNCTION("IMPORTRANGE(""https://docs.google.com/spreadsheets/d/1SX6NBoVAgQJ6U1MVXOaj8PK2l7WJ3RER9xtqwdhxkhw/edit?usp=sharing"",""ระยอง!I63"")"),0)</f>
        <v>0</v>
      </c>
      <c r="J133" s="204">
        <f ca="1">IFERROR(__xludf.DUMMYFUNCTION("IMPORTRANGE(""https://docs.google.com/spreadsheets/d/1SX6NBoVAgQJ6U1MVXOaj8PK2l7WJ3RER9xtqwdhxkhw/edit?usp=sharing"",""ระยอง!J63"")"),0)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IFERROR(__xludf.DUMMYFUNCTION("IMPORTRANGE(""https://docs.google.com/spreadsheets/d/1SX6NBoVAgQJ6U1MVXOaj8PK2l7WJ3RER9xtqwdhxkhw/edit?usp=sharing"",""ระยอง!J64"")"),0)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IFERROR(__xludf.DUMMYFUNCTION("IMPORTRANGE(""https://docs.google.com/spreadsheets/d/1SX6NBoVAgQJ6U1MVXOaj8PK2l7WJ3RER9xtqwdhxkhw/edit?usp=sharing"",""ระยอง!J65"")"),0)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IFERROR(__xludf.DUMMYFUNCTION("IMPORTRANGE(""https://docs.google.com/spreadsheets/d/1SX6NBoVAgQJ6U1MVXOaj8PK2l7WJ3RER9xtqwdhxkhw/edit?usp=sharing"",""ระยอง!I68"")"),20)</f>
        <v>20</v>
      </c>
      <c r="J138" s="268">
        <f ca="1">IFERROR(__xludf.DUMMYFUNCTION("IMPORTRANGE(""https://docs.google.com/spreadsheets/d/1SX6NBoVAgQJ6U1MVXOaj8PK2l7WJ3RER9xtqwdhxkhw/edit?usp=sharing"",""ระยอง!J68"")"),20)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340900</v>
      </c>
      <c r="M140" s="152">
        <f t="shared" ca="1" si="64"/>
        <v>348900</v>
      </c>
      <c r="N140" s="152">
        <f t="shared" ca="1" si="64"/>
        <v>293168.96999999997</v>
      </c>
      <c r="O140" s="151">
        <f t="shared" ref="O140:O142" ca="1" si="65">IF(L140&gt;0,N140*100/L140,0)</f>
        <v>85.998524493986494</v>
      </c>
      <c r="P140" s="151">
        <f t="shared" ref="P140:P142" ca="1" si="66">IF(M140&gt;0,N140*100/M140,0)</f>
        <v>84.02664660361134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340900</v>
      </c>
      <c r="M142" s="157">
        <f t="shared" ca="1" si="68"/>
        <v>348900</v>
      </c>
      <c r="N142" s="157">
        <f t="shared" ca="1" si="68"/>
        <v>293168.96999999997</v>
      </c>
      <c r="O142" s="156">
        <f t="shared" ca="1" si="65"/>
        <v>85.998524493986494</v>
      </c>
      <c r="P142" s="156">
        <f t="shared" ca="1" si="66"/>
        <v>84.02664660361134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340900</v>
      </c>
      <c r="M144" s="168">
        <f ca="1">IFERROR(__xludf.DUMMYFUNCTION("IMPORTRANGE(""https://docs.google.com/spreadsheets/d/1Yj_ptqi66GCucihVvJfMjLAmec39IyEx_6qawtMGysU/edit?usp=sharing"",""สบก!BJ72"")"),348900)</f>
        <v>348900</v>
      </c>
      <c r="N144" s="169">
        <f ca="1">IFERROR(__xludf.DUMMYFUNCTION("IMPORTRANGE(""https://docs.google.com/spreadsheets/d/1Yj_ptqi66GCucihVvJfMjLAmec39IyEx_6qawtMGysU/edit?usp=sharing"",""สบก!BK72"")"),293168.97)</f>
        <v>293168.96999999997</v>
      </c>
      <c r="O144" s="169">
        <f ca="1">IF(L144&gt;0,N144*100/L144,0)</f>
        <v>85.998524493986494</v>
      </c>
      <c r="P144" s="169">
        <f ca="1">IF(M144&gt;0,N144*100/M144,0)</f>
        <v>84.02664660361134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IFERROR(__xludf.DUMMYFUNCTION("IMPORTRANGE(""https://docs.google.com/spreadsheets/d/1Yj_ptqi66GCucihVvJfMjLAmec39IyEx_6qawtMGysU/edit?usp=sharing"",""สบก!BF72"")"),232000)</f>
        <v>232000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IFERROR(__xludf.DUMMYFUNCTION("IMPORTRANGE(""https://docs.google.com/spreadsheets/d/1Yj_ptqi66GCucihVvJfMjLAmec39IyEx_6qawtMGysU/edit?usp=sharing"",""สบก!BG72"")"),108900)</f>
        <v>108900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IFERROR(__xludf.DUMMYFUNCTION("IMPORTRANGE(""https://docs.google.com/spreadsheets/d/1Yj_ptqi66GCucihVvJfMjLAmec39IyEx_6qawtMGysU/edit?usp=sharing"",""สบก!BH72"")"),0)</f>
        <v>0</v>
      </c>
      <c r="M148" s="49"/>
      <c r="N148" s="49">
        <f ca="1">IFERROR(__xludf.DUMMYFUNCTION("IMPORTRANGE(""https://docs.google.com/spreadsheets/d/1Yj_ptqi66GCucihVvJfMjLAmec39IyEx_6qawtMGysU/edit?usp=sharing"",""สบก!BL72"")"),0)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IFERROR(__xludf.DUMMYFUNCTION("IMPORTRANGE(""https://docs.google.com/spreadsheets/d/1SX6NBoVAgQJ6U1MVXOaj8PK2l7WJ3RER9xtqwdhxkhw/edit?usp=sharing"",""ระยอง!I74"")"),4)</f>
        <v>4</v>
      </c>
      <c r="J149" s="276">
        <f ca="1">IFERROR(__xludf.DUMMYFUNCTION("IMPORTRANGE(""https://docs.google.com/spreadsheets/d/1SX6NBoVAgQJ6U1MVXOaj8PK2l7WJ3RER9xtqwdhxkhw/edit?usp=sharing"",""ระยอง!J74"")"),2)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IFERROR(__xludf.DUMMYFUNCTION("IMPORTRANGE(""https://docs.google.com/spreadsheets/d/1SX6NBoVAgQJ6U1MVXOaj8PK2l7WJ3RER9xtqwdhxkhw/edit?usp=sharing"",""ระยอง!J79"")"),0)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IFERROR(__xludf.DUMMYFUNCTION("IMPORTRANGE(""https://docs.google.com/spreadsheets/d/1SX6NBoVAgQJ6U1MVXOaj8PK2l7WJ3RER9xtqwdhxkhw/edit?usp=sharing"",""ระยอง!J80"")"),1)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IFERROR(__xludf.DUMMYFUNCTION("IMPORTRANGE(""https://docs.google.com/spreadsheets/d/1SX6NBoVAgQJ6U1MVXOaj8PK2l7WJ3RER9xtqwdhxkhw/edit?usp=sharing"",""ระยอง!J81"")"),1)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IFERROR(__xludf.DUMMYFUNCTION("IMPORTRANGE(""https://docs.google.com/spreadsheets/d/1SX6NBoVAgQJ6U1MVXOaj8PK2l7WJ3RER9xtqwdhxkhw/edit?usp=sharing"",""ระยอง!J82"")"),1)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IFERROR(__xludf.DUMMYFUNCTION("IMPORTRANGE(""https://docs.google.com/spreadsheets/d/1SX6NBoVAgQJ6U1MVXOaj8PK2l7WJ3RER9xtqwdhxkhw/edit?usp=sharing"",""ระยอง!I83"")"),4)</f>
        <v>4</v>
      </c>
      <c r="J158" s="189">
        <f ca="1">IFERROR(__xludf.DUMMYFUNCTION("IMPORTRANGE(""https://docs.google.com/spreadsheets/d/1SX6NBoVAgQJ6U1MVXOaj8PK2l7WJ3RER9xtqwdhxkhw/edit?usp=sharing"",""ระยอง!J83"")"),2)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IFERROR(__xludf.DUMMYFUNCTION("IMPORTRANGE(""https://docs.google.com/spreadsheets/d/1SX6NBoVAgQJ6U1MVXOaj8PK2l7WJ3RER9xtqwdhxkhw/edit?usp=sharing"",""ระยอง!J84"")"),0)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IFERROR(__xludf.DUMMYFUNCTION("IMPORTRANGE(""https://docs.google.com/spreadsheets/d/1SX6NBoVAgQJ6U1MVXOaj8PK2l7WJ3RER9xtqwdhxkhw/edit?usp=sharing"",""ระยอง!J85"")"),0)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IFERROR(__xludf.DUMMYFUNCTION("IMPORTRANGE(""https://docs.google.com/spreadsheets/d/1SX6NBoVAgQJ6U1MVXOaj8PK2l7WJ3RER9xtqwdhxkhw/edit?usp=sharing"",""ระยอง!J86"")"),0)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IFERROR(__xludf.DUMMYFUNCTION("IMPORTRANGE(""https://docs.google.com/spreadsheets/d/1SX6NBoVAgQJ6U1MVXOaj8PK2l7WJ3RER9xtqwdhxkhw/edit?usp=sharing"",""ระยอง!J87"")"),0)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IFERROR(__xludf.DUMMYFUNCTION("IMPORTRANGE(""https://docs.google.com/spreadsheets/d/1SX6NBoVAgQJ6U1MVXOaj8PK2l7WJ3RER9xtqwdhxkhw/edit?usp=sharing"",""ระยอง!J88"")"),0)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IFERROR(__xludf.DUMMYFUNCTION("IMPORTRANGE(""https://docs.google.com/spreadsheets/d/1SX6NBoVAgQJ6U1MVXOaj8PK2l7WJ3RER9xtqwdhxkhw/edit?usp=sharing"",""ระยอง!I89"")"),1)</f>
        <v>1</v>
      </c>
      <c r="J164" s="285">
        <f ca="1">IFERROR(__xludf.DUMMYFUNCTION("IMPORTRANGE(""https://docs.google.com/spreadsheets/d/1SX6NBoVAgQJ6U1MVXOaj8PK2l7WJ3RER9xtqwdhxkhw/edit?usp=sharing"",""ระยอง!J89"")"),1)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IFERROR(__xludf.DUMMYFUNCTION("IMPORTRANGE(""https://docs.google.com/spreadsheets/d/1SX6NBoVAgQJ6U1MVXOaj8PK2l7WJ3RER9xtqwdhxkhw/edit?usp=sharing"",""ระยอง!J94"")"),0)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IFERROR(__xludf.DUMMYFUNCTION("IMPORTRANGE(""https://docs.google.com/spreadsheets/d/1SX6NBoVAgQJ6U1MVXOaj8PK2l7WJ3RER9xtqwdhxkhw/edit?usp=sharing"",""ระยอง!J95"")"),1)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IFERROR(__xludf.DUMMYFUNCTION("IMPORTRANGE(""https://docs.google.com/spreadsheets/d/1SX6NBoVAgQJ6U1MVXOaj8PK2l7WJ3RER9xtqwdhxkhw/edit?usp=sharing"",""ระยอง!J96"")"),1)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IFERROR(__xludf.DUMMYFUNCTION("IMPORTRANGE(""https://docs.google.com/spreadsheets/d/1SX6NBoVAgQJ6U1MVXOaj8PK2l7WJ3RER9xtqwdhxkhw/edit?usp=sharing"",""ระยอง!J97"")"),1)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IFERROR(__xludf.DUMMYFUNCTION("IMPORTRANGE(""https://docs.google.com/spreadsheets/d/1SX6NBoVAgQJ6U1MVXOaj8PK2l7WJ3RER9xtqwdhxkhw/edit?usp=sharing"",""ระยอง!I98"")"),1)</f>
        <v>1</v>
      </c>
      <c r="J173" s="189">
        <f ca="1">IFERROR(__xludf.DUMMYFUNCTION("IMPORTRANGE(""https://docs.google.com/spreadsheets/d/1SX6NBoVAgQJ6U1MVXOaj8PK2l7WJ3RER9xtqwdhxkhw/edit?usp=sharing"",""ระยอง!J98"")"),1)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IFERROR(__xludf.DUMMYFUNCTION("IMPORTRANGE(""https://docs.google.com/spreadsheets/d/1SX6NBoVAgQJ6U1MVXOaj8PK2l7WJ3RER9xtqwdhxkhw/edit?usp=sharing"",""ระยอง!J99"")"),0)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IFERROR(__xludf.DUMMYFUNCTION("IMPORTRANGE(""https://docs.google.com/spreadsheets/d/1SX6NBoVAgQJ6U1MVXOaj8PK2l7WJ3RER9xtqwdhxkhw/edit?usp=sharing"",""ระยอง!J100"")"),0)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IFERROR(__xludf.DUMMYFUNCTION("IMPORTRANGE(""https://docs.google.com/spreadsheets/d/1SX6NBoVAgQJ6U1MVXOaj8PK2l7WJ3RER9xtqwdhxkhw/edit?usp=sharing"",""ระยอง!I101"")"),0)</f>
        <v>0</v>
      </c>
      <c r="J176" s="285">
        <f ca="1">IFERROR(__xludf.DUMMYFUNCTION("IMPORTRANGE(""https://docs.google.com/spreadsheets/d/1SX6NBoVAgQJ6U1MVXOaj8PK2l7WJ3RER9xtqwdhxkhw/edit?usp=sharing"",""ระยอง!J101"")"),0)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IFERROR(__xludf.DUMMYFUNCTION("IMPORTRANGE(""https://docs.google.com/spreadsheets/d/1SX6NBoVAgQJ6U1MVXOaj8PK2l7WJ3RER9xtqwdhxkhw/edit?usp=sharing"",""ระยอง!J106"")"),0)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IFERROR(__xludf.DUMMYFUNCTION("IMPORTRANGE(""https://docs.google.com/spreadsheets/d/1SX6NBoVAgQJ6U1MVXOaj8PK2l7WJ3RER9xtqwdhxkhw/edit?usp=sharing"",""ระยอง!J107"")"),0)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IFERROR(__xludf.DUMMYFUNCTION("IMPORTRANGE(""https://docs.google.com/spreadsheets/d/1SX6NBoVAgQJ6U1MVXOaj8PK2l7WJ3RER9xtqwdhxkhw/edit?usp=sharing"",""ระยอง!J108"")"),0)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IFERROR(__xludf.DUMMYFUNCTION("IMPORTRANGE(""https://docs.google.com/spreadsheets/d/1SX6NBoVAgQJ6U1MVXOaj8PK2l7WJ3RER9xtqwdhxkhw/edit?usp=sharing"",""ระยอง!J109"")"),0)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IFERROR(__xludf.DUMMYFUNCTION("IMPORTRANGE(""https://docs.google.com/spreadsheets/d/1SX6NBoVAgQJ6U1MVXOaj8PK2l7WJ3RER9xtqwdhxkhw/edit?usp=sharing"",""ระยอง!I110"")"),0)</f>
        <v>0</v>
      </c>
      <c r="J185" s="204">
        <f ca="1">IFERROR(__xludf.DUMMYFUNCTION("IMPORTRANGE(""https://docs.google.com/spreadsheets/d/1SX6NBoVAgQJ6U1MVXOaj8PK2l7WJ3RER9xtqwdhxkhw/edit?usp=sharing"",""ระยอง!J110"")"),0)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IFERROR(__xludf.DUMMYFUNCTION("IMPORTRANGE(""https://docs.google.com/spreadsheets/d/1SX6NBoVAgQJ6U1MVXOaj8PK2l7WJ3RER9xtqwdhxkhw/edit?usp=sharing"",""ระยอง!I111"")"),0)</f>
        <v>0</v>
      </c>
      <c r="J186" s="204">
        <f ca="1">IFERROR(__xludf.DUMMYFUNCTION("IMPORTRANGE(""https://docs.google.com/spreadsheets/d/1SX6NBoVAgQJ6U1MVXOaj8PK2l7WJ3RER9xtqwdhxkhw/edit?usp=sharing"",""ระยอง!J111"")"),0)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IFERROR(__xludf.DUMMYFUNCTION("IMPORTRANGE(""https://docs.google.com/spreadsheets/d/1SX6NBoVAgQJ6U1MVXOaj8PK2l7WJ3RER9xtqwdhxkhw/edit?usp=sharing"",""ระยอง!J112"")"),0)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IFERROR(__xludf.DUMMYFUNCTION("IMPORTRANGE(""https://docs.google.com/spreadsheets/d/1SX6NBoVAgQJ6U1MVXOaj8PK2l7WJ3RER9xtqwdhxkhw/edit?usp=sharing"",""ระยอง!J113"")"),0)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IFERROR(__xludf.DUMMYFUNCTION("IMPORTRANGE(""https://docs.google.com/spreadsheets/d/1SX6NBoVAgQJ6U1MVXOaj8PK2l7WJ3RER9xtqwdhxkhw/edit?usp=sharing"",""ระยอง!I114"")"),6400)</f>
        <v>6400</v>
      </c>
      <c r="J189" s="285">
        <f ca="1">IFERROR(__xludf.DUMMYFUNCTION("IMPORTRANGE(""https://docs.google.com/spreadsheets/d/1SX6NBoVAgQJ6U1MVXOaj8PK2l7WJ3RER9xtqwdhxkhw/edit?usp=sharing"",""ระยอง!J114"")"),6400)</f>
        <v>6400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IFERROR(__xludf.DUMMYFUNCTION("IMPORTRANGE(""https://docs.google.com/spreadsheets/d/1SX6NBoVAgQJ6U1MVXOaj8PK2l7WJ3RER9xtqwdhxkhw/edit?usp=sharing"",""ระยอง!J119"")"),0)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IFERROR(__xludf.DUMMYFUNCTION("IMPORTRANGE(""https://docs.google.com/spreadsheets/d/1SX6NBoVAgQJ6U1MVXOaj8PK2l7WJ3RER9xtqwdhxkhw/edit?usp=sharing"",""ระยอง!J120"")"),1)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IFERROR(__xludf.DUMMYFUNCTION("IMPORTRANGE(""https://docs.google.com/spreadsheets/d/1SX6NBoVAgQJ6U1MVXOaj8PK2l7WJ3RER9xtqwdhxkhw/edit?usp=sharing"",""ระยอง!J121"")"),1)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IFERROR(__xludf.DUMMYFUNCTION("IMPORTRANGE(""https://docs.google.com/spreadsheets/d/1SX6NBoVAgQJ6U1MVXOaj8PK2l7WJ3RER9xtqwdhxkhw/edit?usp=sharing"",""ระยอง!J122"")"),0)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IFERROR(__xludf.DUMMYFUNCTION("IMPORTRANGE(""https://docs.google.com/spreadsheets/d/1SX6NBoVAgQJ6U1MVXOaj8PK2l7WJ3RER9xtqwdhxkhw/edit?usp=sharing"",""ระยอง!I124"")"),6400)</f>
        <v>6400</v>
      </c>
      <c r="J199" s="189">
        <f ca="1">IFERROR(__xludf.DUMMYFUNCTION("IMPORTRANGE(""https://docs.google.com/spreadsheets/d/1SX6NBoVAgQJ6U1MVXOaj8PK2l7WJ3RER9xtqwdhxkhw/edit?usp=sharing"",""ระยอง!J124"")"),6400)</f>
        <v>6400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IFERROR(__xludf.DUMMYFUNCTION("IMPORTRANGE(""https://docs.google.com/spreadsheets/d/1SX6NBoVAgQJ6U1MVXOaj8PK2l7WJ3RER9xtqwdhxkhw/edit?usp=sharing"",""ระยอง!I125"")"),6400)</f>
        <v>6400</v>
      </c>
      <c r="J200" s="189">
        <f ca="1">IFERROR(__xludf.DUMMYFUNCTION("IMPORTRANGE(""https://docs.google.com/spreadsheets/d/1SX6NBoVAgQJ6U1MVXOaj8PK2l7WJ3RER9xtqwdhxkhw/edit?usp=sharing"",""ระยอง!J125"")"),6400)</f>
        <v>6400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IFERROR(__xludf.DUMMYFUNCTION("IMPORTRANGE(""https://docs.google.com/spreadsheets/d/1SX6NBoVAgQJ6U1MVXOaj8PK2l7WJ3RER9xtqwdhxkhw/edit?usp=sharing"",""ระยอง!I126"")"),0)</f>
        <v>0</v>
      </c>
      <c r="J201" s="189">
        <f ca="1">IFERROR(__xludf.DUMMYFUNCTION("IMPORTRANGE(""https://docs.google.com/spreadsheets/d/1SX6NBoVAgQJ6U1MVXOaj8PK2l7WJ3RER9xtqwdhxkhw/edit?usp=sharing"",""ระยอง!J126"")"),0)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IFERROR(__xludf.DUMMYFUNCTION("IMPORTRANGE(""https://docs.google.com/spreadsheets/d/1SX6NBoVAgQJ6U1MVXOaj8PK2l7WJ3RER9xtqwdhxkhw/edit?usp=sharing"",""ระยอง!J127"")"),0)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IFERROR(__xludf.DUMMYFUNCTION("IMPORTRANGE(""https://docs.google.com/spreadsheets/d/1SX6NBoVAgQJ6U1MVXOaj8PK2l7WJ3RER9xtqwdhxkhw/edit?usp=sharing"",""ระยอง!J128"")"),0)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IFERROR(__xludf.DUMMYFUNCTION("IMPORTRANGE(""https://docs.google.com/spreadsheets/d/1SX6NBoVAgQJ6U1MVXOaj8PK2l7WJ3RER9xtqwdhxkhw/edit?usp=sharing"",""ระยอง!I129"")"),20)</f>
        <v>20</v>
      </c>
      <c r="J204" s="285">
        <f ca="1">IFERROR(__xludf.DUMMYFUNCTION("IMPORTRANGE(""https://docs.google.com/spreadsheets/d/1SX6NBoVAgQJ6U1MVXOaj8PK2l7WJ3RER9xtqwdhxkhw/edit?usp=sharing"",""ระยอง!J129"")"),20)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IFERROR(__xludf.DUMMYFUNCTION("IMPORTRANGE(""https://docs.google.com/spreadsheets/d/1SX6NBoVAgQJ6U1MVXOaj8PK2l7WJ3RER9xtqwdhxkhw/edit?usp=sharing"",""ระยอง!J134"")"),0)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IFERROR(__xludf.DUMMYFUNCTION("IMPORTRANGE(""https://docs.google.com/spreadsheets/d/1SX6NBoVAgQJ6U1MVXOaj8PK2l7WJ3RER9xtqwdhxkhw/edit?usp=sharing"",""ระยอง!J135"")"),1)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IFERROR(__xludf.DUMMYFUNCTION("IMPORTRANGE(""https://docs.google.com/spreadsheets/d/1SX6NBoVAgQJ6U1MVXOaj8PK2l7WJ3RER9xtqwdhxkhw/edit?usp=sharing"",""ระยอง!J136"")"),1)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IFERROR(__xludf.DUMMYFUNCTION("IMPORTRANGE(""https://docs.google.com/spreadsheets/d/1SX6NBoVAgQJ6U1MVXOaj8PK2l7WJ3RER9xtqwdhxkhw/edit?usp=sharing"",""ระยอง!J137"")"),1)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IFERROR(__xludf.DUMMYFUNCTION("IMPORTRANGE(""https://docs.google.com/spreadsheets/d/1SX6NBoVAgQJ6U1MVXOaj8PK2l7WJ3RER9xtqwdhxkhw/edit?usp=sharing"",""ระยอง!I138"")"),20)</f>
        <v>20</v>
      </c>
      <c r="J213" s="204">
        <f ca="1">IFERROR(__xludf.DUMMYFUNCTION("IMPORTRANGE(""https://docs.google.com/spreadsheets/d/1SX6NBoVAgQJ6U1MVXOaj8PK2l7WJ3RER9xtqwdhxkhw/edit?usp=sharing"",""ระยอง!J138"")"),20)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IFERROR(__xludf.DUMMYFUNCTION("IMPORTRANGE(""https://docs.google.com/spreadsheets/d/1SX6NBoVAgQJ6U1MVXOaj8PK2l7WJ3RER9xtqwdhxkhw/edit?usp=sharing"",""ระยอง!I140"")"),20)</f>
        <v>20</v>
      </c>
      <c r="J215" s="204">
        <f ca="1">IFERROR(__xludf.DUMMYFUNCTION("IMPORTRANGE(""https://docs.google.com/spreadsheets/d/1SX6NBoVAgQJ6U1MVXOaj8PK2l7WJ3RER9xtqwdhxkhw/edit?usp=sharing"",""ระยอง!J140"")"),20)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IFERROR(__xludf.DUMMYFUNCTION("IMPORTRANGE(""https://docs.google.com/spreadsheets/d/1SX6NBoVAgQJ6U1MVXOaj8PK2l7WJ3RER9xtqwdhxkhw/edit?usp=sharing"",""ระยอง!I141"")"),0)</f>
        <v>0</v>
      </c>
      <c r="J216" s="204">
        <f ca="1">IFERROR(__xludf.DUMMYFUNCTION("IMPORTRANGE(""https://docs.google.com/spreadsheets/d/1SX6NBoVAgQJ6U1MVXOaj8PK2l7WJ3RER9xtqwdhxkhw/edit?usp=sharing"",""ระยอง!J141"")"),0)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IFERROR(__xludf.DUMMYFUNCTION("IMPORTRANGE(""https://docs.google.com/spreadsheets/d/1SX6NBoVAgQJ6U1MVXOaj8PK2l7WJ3RER9xtqwdhxkhw/edit?usp=sharing"",""ระยอง!J142"")"),0)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IFERROR(__xludf.DUMMYFUNCTION("IMPORTRANGE(""https://docs.google.com/spreadsheets/d/1SX6NBoVAgQJ6U1MVXOaj8PK2l7WJ3RER9xtqwdhxkhw/edit?usp=sharing"",""ระยอง!J143"")"),0)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IFERROR(__xludf.DUMMYFUNCTION("IMPORTRANGE(""https://docs.google.com/spreadsheets/d/1SX6NBoVAgQJ6U1MVXOaj8PK2l7WJ3RER9xtqwdhxkhw/edit?usp=sharing"",""ระยอง!I144"")"),15)</f>
        <v>15</v>
      </c>
      <c r="J219" s="268">
        <f ca="1">IFERROR(__xludf.DUMMYFUNCTION("IMPORTRANGE(""https://docs.google.com/spreadsheets/d/1SX6NBoVAgQJ6U1MVXOaj8PK2l7WJ3RER9xtqwdhxkhw/edit?usp=sharing"",""ระยอง!J144"")"),15)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IFERROR(__xludf.DUMMYFUNCTION("IMPORTRANGE(""https://docs.google.com/spreadsheets/d/1Yj_ptqi66GCucihVvJfMjLAmec39IyEx_6qawtMGysU/edit?usp=sharing"",""สบก!BS72"")"),21125)</f>
        <v>21125</v>
      </c>
      <c r="N224" s="169">
        <f ca="1">IFERROR(__xludf.DUMMYFUNCTION("IMPORTRANGE(""https://docs.google.com/spreadsheets/d/1Yj_ptqi66GCucihVvJfMjLAmec39IyEx_6qawtMGysU/edit?usp=sharing"",""สบก!BT72"")"),21125)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IFERROR(__xludf.DUMMYFUNCTION("IMPORTRANGE(""https://docs.google.com/spreadsheets/d/1Yj_ptqi66GCucihVvJfMjLAmec39IyEx_6qawtMGysU/edit?usp=sharing"",""สบก!BQ72"")"),0)</f>
        <v>0</v>
      </c>
      <c r="M228" s="49"/>
      <c r="N228" s="49">
        <f ca="1">IFERROR(__xludf.DUMMYFUNCTION("IMPORTRANGE(""https://docs.google.com/spreadsheets/d/1Yj_ptqi66GCucihVvJfMjLAmec39IyEx_6qawtMGysU/edit?usp=sharing"",""สบก!BU72"")"),0)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IFERROR(__xludf.DUMMYFUNCTION("IMPORTRANGE(""https://docs.google.com/spreadsheets/d/1SX6NBoVAgQJ6U1MVXOaj8PK2l7WJ3RER9xtqwdhxkhw/edit?usp=sharing"",""ระยอง!I149"")"),15)</f>
        <v>15</v>
      </c>
      <c r="J229" s="268">
        <f ca="1">IFERROR(__xludf.DUMMYFUNCTION("IMPORTRANGE(""https://docs.google.com/spreadsheets/d/1SX6NBoVAgQJ6U1MVXOaj8PK2l7WJ3RER9xtqwdhxkhw/edit?usp=sharing"",""ระยอง!J149"")"),15)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IFERROR(__xludf.DUMMYFUNCTION("IMPORTRANGE(""https://docs.google.com/spreadsheets/d/1SX6NBoVAgQJ6U1MVXOaj8PK2l7WJ3RER9xtqwdhxkhw/edit?usp=sharing"",""ระยอง!J151"")"),0)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IFERROR(__xludf.DUMMYFUNCTION("IMPORTRANGE(""https://docs.google.com/spreadsheets/d/1SX6NBoVAgQJ6U1MVXOaj8PK2l7WJ3RER9xtqwdhxkhw/edit?usp=sharing"",""ระยอง!J152"")"),1)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IFERROR(__xludf.DUMMYFUNCTION("IMPORTRANGE(""https://docs.google.com/spreadsheets/d/1SX6NBoVAgQJ6U1MVXOaj8PK2l7WJ3RER9xtqwdhxkhw/edit?usp=sharing"",""ระยอง!J153"")"),1)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IFERROR(__xludf.DUMMYFUNCTION("IMPORTRANGE(""https://docs.google.com/spreadsheets/d/1SX6NBoVAgQJ6U1MVXOaj8PK2l7WJ3RER9xtqwdhxkhw/edit?usp=sharing"",""ระยอง!J154"")"),1)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IFERROR(__xludf.DUMMYFUNCTION("IMPORTRANGE(""https://docs.google.com/spreadsheets/d/1SX6NBoVAgQJ6U1MVXOaj8PK2l7WJ3RER9xtqwdhxkhw/edit?usp=sharing"",""ระยอง!I155"")"),15)</f>
        <v>15</v>
      </c>
      <c r="J235" s="189">
        <f ca="1">IFERROR(__xludf.DUMMYFUNCTION("IMPORTRANGE(""https://docs.google.com/spreadsheets/d/1SX6NBoVAgQJ6U1MVXOaj8PK2l7WJ3RER9xtqwdhxkhw/edit?usp=sharing"",""ระยอง!J155"")"),15)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IFERROR(__xludf.DUMMYFUNCTION("IMPORTRANGE(""https://docs.google.com/spreadsheets/d/1SX6NBoVAgQJ6U1MVXOaj8PK2l7WJ3RER9xtqwdhxkhw/edit?usp=sharing"",""ระยอง!J156"")"),0)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IFERROR(__xludf.DUMMYFUNCTION("IMPORTRANGE(""https://docs.google.com/spreadsheets/d/1SX6NBoVAgQJ6U1MVXOaj8PK2l7WJ3RER9xtqwdhxkhw/edit?usp=sharing"",""ระยอง!J157"")"),0)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IFERROR(__xludf.DUMMYFUNCTION("IMPORTRANGE(""https://docs.google.com/spreadsheets/d/1SX6NBoVAgQJ6U1MVXOaj8PK2l7WJ3RER9xtqwdhxkhw/edit?usp=sharing"",""ระยอง!I158"")"),0)</f>
        <v>0</v>
      </c>
      <c r="J238" s="268">
        <f ca="1">IFERROR(__xludf.DUMMYFUNCTION("IMPORTRANGE(""https://docs.google.com/spreadsheets/d/1SX6NBoVAgQJ6U1MVXOaj8PK2l7WJ3RER9xtqwdhxkhw/edit?usp=sharing"",""ระยอง!J158"")"),0)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IFERROR(__xludf.DUMMYFUNCTION("IMPORTRANGE(""https://docs.google.com/spreadsheets/d/1SX6NBoVAgQJ6U1MVXOaj8PK2l7WJ3RER9xtqwdhxkhw/edit?usp=sharing"",""ระยอง!J159"")"),"")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IFERROR(__xludf.DUMMYFUNCTION("IMPORTRANGE(""https://docs.google.com/spreadsheets/d/1SX6NBoVAgQJ6U1MVXOaj8PK2l7WJ3RER9xtqwdhxkhw/edit?usp=sharing"",""ระยอง!J161"")"),0)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IFERROR(__xludf.DUMMYFUNCTION("IMPORTRANGE(""https://docs.google.com/spreadsheets/d/1SX6NBoVAgQJ6U1MVXOaj8PK2l7WJ3RER9xtqwdhxkhw/edit?usp=sharing"",""ระยอง!J162"")"),0)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IFERROR(__xludf.DUMMYFUNCTION("IMPORTRANGE(""https://docs.google.com/spreadsheets/d/1SX6NBoVAgQJ6U1MVXOaj8PK2l7WJ3RER9xtqwdhxkhw/edit?usp=sharing"",""ระยอง!J163"")"),0)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IFERROR(__xludf.DUMMYFUNCTION("IMPORTRANGE(""https://docs.google.com/spreadsheets/d/1SX6NBoVAgQJ6U1MVXOaj8PK2l7WJ3RER9xtqwdhxkhw/edit?usp=sharing"",""ระยอง!I164"")"),0)</f>
        <v>0</v>
      </c>
      <c r="J244" s="188">
        <f ca="1">IFERROR(__xludf.DUMMYFUNCTION("IMPORTRANGE(""https://docs.google.com/spreadsheets/d/1SX6NBoVAgQJ6U1MVXOaj8PK2l7WJ3RER9xtqwdhxkhw/edit?usp=sharing"",""ระยอง!J164"")"),0)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IFERROR(__xludf.DUMMYFUNCTION("IMPORTRANGE(""https://docs.google.com/spreadsheets/d/1SX6NBoVAgQJ6U1MVXOaj8PK2l7WJ3RER9xtqwdhxkhw/edit?usp=sharing"",""ระยอง!J165"")"),0)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IFERROR(__xludf.DUMMYFUNCTION("IMPORTRANGE(""https://docs.google.com/spreadsheets/d/1SX6NBoVAgQJ6U1MVXOaj8PK2l7WJ3RER9xtqwdhxkhw/edit?usp=sharing"",""ระยอง!J166"")"),0)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IFERROR(__xludf.DUMMYFUNCTION("IMPORTRANGE(""https://docs.google.com/spreadsheets/d/1SX6NBoVAgQJ6U1MVXOaj8PK2l7WJ3RER9xtqwdhxkhw/edit?usp=sharing"",""ระยอง!I169"")"),25)</f>
        <v>25</v>
      </c>
      <c r="J249" s="317">
        <f ca="1">IFERROR(__xludf.DUMMYFUNCTION("IMPORTRANGE(""https://docs.google.com/spreadsheets/d/1SX6NBoVAgQJ6U1MVXOaj8PK2l7WJ3RER9xtqwdhxkhw/edit?usp=sharing"",""ระยอง!J169"")"),25)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155518.1</v>
      </c>
      <c r="O250" s="151">
        <f t="shared" ref="O250:O252" ca="1" si="78">IF(L250&gt;0,N250*100/L250,0)</f>
        <v>78.149798994974873</v>
      </c>
      <c r="P250" s="151">
        <f t="shared" ref="P250:P252" ca="1" si="79">IF(M250&gt;0,N250*100/M250,0)</f>
        <v>78.149798994974873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155518.1</v>
      </c>
      <c r="O252" s="156">
        <f t="shared" ca="1" si="78"/>
        <v>78.149798994974873</v>
      </c>
      <c r="P252" s="156">
        <f t="shared" ca="1" si="79"/>
        <v>78.149798994974873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IFERROR(__xludf.DUMMYFUNCTION("IMPORTRANGE(""https://docs.google.com/spreadsheets/d/1Yj_ptqi66GCucihVvJfMjLAmec39IyEx_6qawtMGysU/edit?usp=sharing"",""สบก!CB72"")"),199000)</f>
        <v>199000</v>
      </c>
      <c r="N254" s="169">
        <f ca="1">IFERROR(__xludf.DUMMYFUNCTION("IMPORTRANGE(""https://docs.google.com/spreadsheets/d/1Yj_ptqi66GCucihVvJfMjLAmec39IyEx_6qawtMGysU/edit?usp=sharing"",""สบก!CC72"")"),155518.1)</f>
        <v>155518.1</v>
      </c>
      <c r="O254" s="169">
        <f ca="1">IF(L254&gt;0,N254*100/L254,0)</f>
        <v>78.149798994974873</v>
      </c>
      <c r="P254" s="169">
        <f ca="1">IF(M254&gt;0,N254*100/M254,0)</f>
        <v>78.149798994974873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IFERROR(__xludf.DUMMYFUNCTION("IMPORTRANGE(""https://docs.google.com/spreadsheets/d/1Yj_ptqi66GCucihVvJfMjLAmec39IyEx_6qawtMGysU/edit?usp=sharing"",""สบก!BY72"")"),199000)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IFERROR(__xludf.DUMMYFUNCTION("IMPORTRANGE(""https://docs.google.com/spreadsheets/d/1Yj_ptqi66GCucihVvJfMjLAmec39IyEx_6qawtMGysU/edit?usp=sharing"",""สบก!BZ72"")"),0)</f>
        <v>0</v>
      </c>
      <c r="M258" s="49"/>
      <c r="N258" s="49">
        <f ca="1">IFERROR(__xludf.DUMMYFUNCTION("IMPORTRANGE(""https://docs.google.com/spreadsheets/d/1Yj_ptqi66GCucihVvJfMjLAmec39IyEx_6qawtMGysU/edit?usp=sharing"",""สบก!CD72"")"),0)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IFERROR(__xludf.DUMMYFUNCTION("IMPORTRANGE(""https://docs.google.com/spreadsheets/d/1SX6NBoVAgQJ6U1MVXOaj8PK2l7WJ3RER9xtqwdhxkhw/edit?usp=sharing"",""ระยอง!J175"")"),0)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IFERROR(__xludf.DUMMYFUNCTION("IMPORTRANGE(""https://docs.google.com/spreadsheets/d/1SX6NBoVAgQJ6U1MVXOaj8PK2l7WJ3RER9xtqwdhxkhw/edit?usp=sharing"",""ระยอง!J176"")"),1)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IFERROR(__xludf.DUMMYFUNCTION("IMPORTRANGE(""https://docs.google.com/spreadsheets/d/1SX6NBoVAgQJ6U1MVXOaj8PK2l7WJ3RER9xtqwdhxkhw/edit?usp=sharing"",""ระยอง!J177"")"),1)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IFERROR(__xludf.DUMMYFUNCTION("IMPORTRANGE(""https://docs.google.com/spreadsheets/d/1SX6NBoVAgQJ6U1MVXOaj8PK2l7WJ3RER9xtqwdhxkhw/edit?usp=sharing"",""ระยอง!J178"")"),1)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IFERROR(__xludf.DUMMYFUNCTION("IMPORTRANGE(""https://docs.google.com/spreadsheets/d/1SX6NBoVAgQJ6U1MVXOaj8PK2l7WJ3RER9xtqwdhxkhw/edit?usp=sharing"",""ระยอง!I179"")"),1)</f>
        <v>1</v>
      </c>
      <c r="J264" s="189">
        <f ca="1">IFERROR(__xludf.DUMMYFUNCTION("IMPORTRANGE(""https://docs.google.com/spreadsheets/d/1SX6NBoVAgQJ6U1MVXOaj8PK2l7WJ3RER9xtqwdhxkhw/edit?usp=sharing"",""ระยอง!J179"")"),1)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IFERROR(__xludf.DUMMYFUNCTION("IMPORTRANGE(""https://docs.google.com/spreadsheets/d/1SX6NBoVAgQJ6U1MVXOaj8PK2l7WJ3RER9xtqwdhxkhw/edit?usp=sharing"",""ระยอง!I180"")"),25)</f>
        <v>25</v>
      </c>
      <c r="J265" s="189">
        <f ca="1">IFERROR(__xludf.DUMMYFUNCTION("IMPORTRANGE(""https://docs.google.com/spreadsheets/d/1SX6NBoVAgQJ6U1MVXOaj8PK2l7WJ3RER9xtqwdhxkhw/edit?usp=sharing"",""ระยอง!J180"")"),25)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IFERROR(__xludf.DUMMYFUNCTION("IMPORTRANGE(""https://docs.google.com/spreadsheets/d/1SX6NBoVAgQJ6U1MVXOaj8PK2l7WJ3RER9xtqwdhxkhw/edit?usp=sharing"",""ระยอง!I181"")"),25)</f>
        <v>25</v>
      </c>
      <c r="J266" s="189">
        <f ca="1">IFERROR(__xludf.DUMMYFUNCTION("IMPORTRANGE(""https://docs.google.com/spreadsheets/d/1SX6NBoVAgQJ6U1MVXOaj8PK2l7WJ3RER9xtqwdhxkhw/edit?usp=sharing"",""ระยอง!J181"")"),25)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IFERROR(__xludf.DUMMYFUNCTION("IMPORTRANGE(""https://docs.google.com/spreadsheets/d/1SX6NBoVAgQJ6U1MVXOaj8PK2l7WJ3RER9xtqwdhxkhw/edit?usp=sharing"",""ระยอง!I182"")"),1)</f>
        <v>1</v>
      </c>
      <c r="J267" s="189">
        <f ca="1">IFERROR(__xludf.DUMMYFUNCTION("IMPORTRANGE(""https://docs.google.com/spreadsheets/d/1SX6NBoVAgQJ6U1MVXOaj8PK2l7WJ3RER9xtqwdhxkhw/edit?usp=sharing"",""ระยอง!J182"")"),1)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IFERROR(__xludf.DUMMYFUNCTION("IMPORTRANGE(""https://docs.google.com/spreadsheets/d/1SX6NBoVAgQJ6U1MVXOaj8PK2l7WJ3RER9xtqwdhxkhw/edit?usp=sharing"",""ระยอง!J183"")"),0)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IFERROR(__xludf.DUMMYFUNCTION("IMPORTRANGE(""https://docs.google.com/spreadsheets/d/1SX6NBoVAgQJ6U1MVXOaj8PK2l7WJ3RER9xtqwdhxkhw/edit?usp=sharing"",""ระยอง!J184"")"),0)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IFERROR(__xludf.DUMMYFUNCTION("IMPORTRANGE(""https://docs.google.com/spreadsheets/d/1SX6NBoVAgQJ6U1MVXOaj8PK2l7WJ3RER9xtqwdhxkhw/edit?usp=sharing"",""ระยอง!I185"")"),15)</f>
        <v>15</v>
      </c>
      <c r="J270" s="317">
        <f ca="1">IFERROR(__xludf.DUMMYFUNCTION("IMPORTRANGE(""https://docs.google.com/spreadsheets/d/1SX6NBoVAgQJ6U1MVXOaj8PK2l7WJ3RER9xtqwdhxkhw/edit?usp=sharing"",""ระยอง!J185"")"),15)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43990</v>
      </c>
      <c r="O271" s="151">
        <f t="shared" ref="O271:O273" ca="1" si="84">IF(L271&gt;0,N271*100/L271,0)</f>
        <v>79.69202898550725</v>
      </c>
      <c r="P271" s="151">
        <f t="shared" ref="P271:P273" ca="1" si="85">IF(M271&gt;0,N271*100/M271,0)</f>
        <v>79.69202898550725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43990</v>
      </c>
      <c r="O273" s="156">
        <f t="shared" ca="1" si="84"/>
        <v>79.69202898550725</v>
      </c>
      <c r="P273" s="156">
        <f t="shared" ca="1" si="85"/>
        <v>79.69202898550725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IFERROR(__xludf.DUMMYFUNCTION("IMPORTRANGE(""https://docs.google.com/spreadsheets/d/1Yj_ptqi66GCucihVvJfMjLAmec39IyEx_6qawtMGysU/edit?usp=sharing"",""สบก!CK72"")"),55200)</f>
        <v>55200</v>
      </c>
      <c r="N275" s="169">
        <f ca="1">IFERROR(__xludf.DUMMYFUNCTION("IMPORTRANGE(""https://docs.google.com/spreadsheets/d/1Yj_ptqi66GCucihVvJfMjLAmec39IyEx_6qawtMGysU/edit?usp=sharing"",""สบก!CL72"")"),43990)</f>
        <v>43990</v>
      </c>
      <c r="O275" s="169">
        <f ca="1">IF(L275&gt;0,N275*100/L275,0)</f>
        <v>79.69202898550725</v>
      </c>
      <c r="P275" s="169">
        <f ca="1">IF(M275&gt;0,N275*100/M275,0)</f>
        <v>79.69202898550725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IFERROR(__xludf.DUMMYFUNCTION("IMPORTRANGE(""https://docs.google.com/spreadsheets/d/1Yj_ptqi66GCucihVvJfMjLAmec39IyEx_6qawtMGysU/edit?usp=sharing"",""สบก!CI72"")"),0)</f>
        <v>0</v>
      </c>
      <c r="M279" s="49"/>
      <c r="N279" s="49">
        <f ca="1">IFERROR(__xludf.DUMMYFUNCTION("IMPORTRANGE(""https://docs.google.com/spreadsheets/d/1Yj_ptqi66GCucihVvJfMjLAmec39IyEx_6qawtMGysU/edit?usp=sharing"",""สบก!CM72"")"),0)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IFERROR(__xludf.DUMMYFUNCTION("IMPORTRANGE(""https://docs.google.com/spreadsheets/d/1SX6NBoVAgQJ6U1MVXOaj8PK2l7WJ3RER9xtqwdhxkhw/edit?usp=sharing"",""ระยอง!J191"")"),0)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IFERROR(__xludf.DUMMYFUNCTION("IMPORTRANGE(""https://docs.google.com/spreadsheets/d/1SX6NBoVAgQJ6U1MVXOaj8PK2l7WJ3RER9xtqwdhxkhw/edit?usp=sharing"",""ระยอง!J192"")"),1)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IFERROR(__xludf.DUMMYFUNCTION("IMPORTRANGE(""https://docs.google.com/spreadsheets/d/1SX6NBoVAgQJ6U1MVXOaj8PK2l7WJ3RER9xtqwdhxkhw/edit?usp=sharing"",""ระยอง!J193"")"),1)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IFERROR(__xludf.DUMMYFUNCTION("IMPORTRANGE(""https://docs.google.com/spreadsheets/d/1SX6NBoVAgQJ6U1MVXOaj8PK2l7WJ3RER9xtqwdhxkhw/edit?usp=sharing"",""ระยอง!J194"")"),1)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IFERROR(__xludf.DUMMYFUNCTION("IMPORTRANGE(""https://docs.google.com/spreadsheets/d/1SX6NBoVAgQJ6U1MVXOaj8PK2l7WJ3RER9xtqwdhxkhw/edit?usp=sharing"",""ระยอง!I195"")"),15)</f>
        <v>15</v>
      </c>
      <c r="J285" s="189">
        <f ca="1">IFERROR(__xludf.DUMMYFUNCTION("IMPORTRANGE(""https://docs.google.com/spreadsheets/d/1SX6NBoVAgQJ6U1MVXOaj8PK2l7WJ3RER9xtqwdhxkhw/edit?usp=sharing"",""ระยอง!J195"")"),15)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IFERROR(__xludf.DUMMYFUNCTION("IMPORTRANGE(""https://docs.google.com/spreadsheets/d/1SX6NBoVAgQJ6U1MVXOaj8PK2l7WJ3RER9xtqwdhxkhw/edit?usp=sharing"",""ระยอง!J196"")"),0)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IFERROR(__xludf.DUMMYFUNCTION("IMPORTRANGE(""https://docs.google.com/spreadsheets/d/1SX6NBoVAgQJ6U1MVXOaj8PK2l7WJ3RER9xtqwdhxkhw/edit?usp=sharing"",""ระยอง!J197"")"),0)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IFERROR(__xludf.DUMMYFUNCTION("IMPORTRANGE(""https://docs.google.com/spreadsheets/d/1SX6NBoVAgQJ6U1MVXOaj8PK2l7WJ3RER9xtqwdhxkhw/edit?usp=sharing"",""ระยอง!I199"")"),0)</f>
        <v>0</v>
      </c>
      <c r="J289" s="317">
        <f ca="1">IFERROR(__xludf.DUMMYFUNCTION("IMPORTRANGE(""https://docs.google.com/spreadsheets/d/1SX6NBoVAgQJ6U1MVXOaj8PK2l7WJ3RER9xtqwdhxkhw/edit?usp=sharing"",""ระยอง!J199"")"),0)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IFERROR(__xludf.DUMMYFUNCTION("IMPORTRANGE(""https://docs.google.com/spreadsheets/d/1Yj_ptqi66GCucihVvJfMjLAmec39IyEx_6qawtMGysU/edit?usp=sharing"",""สบก!CT72"")"),0)</f>
        <v>0</v>
      </c>
      <c r="N294" s="169">
        <f ca="1">IFERROR(__xludf.DUMMYFUNCTION("IMPORTRANGE(""https://docs.google.com/spreadsheets/d/1Yj_ptqi66GCucihVvJfMjLAmec39IyEx_6qawtMGysU/edit?usp=sharing"",""สบก!CU72"")"),0)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IFERROR(__xludf.DUMMYFUNCTION("IMPORTRANGE(""https://docs.google.com/spreadsheets/d/1Yj_ptqi66GCucihVvJfMjLAmec39IyEx_6qawtMGysU/edit?usp=sharing"",""สบก!CR72"")"),0)</f>
        <v>0</v>
      </c>
      <c r="M298" s="49"/>
      <c r="N298" s="49">
        <f ca="1">IFERROR(__xludf.DUMMYFUNCTION("IMPORTRANGE(""https://docs.google.com/spreadsheets/d/1Yj_ptqi66GCucihVvJfMjLAmec39IyEx_6qawtMGysU/edit?usp=sharing"",""สบก!CV72"")"),0)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IFERROR(__xludf.DUMMYFUNCTION("IMPORTRANGE(""https://docs.google.com/spreadsheets/d/1SX6NBoVAgQJ6U1MVXOaj8PK2l7WJ3RER9xtqwdhxkhw/edit?usp=sharing"",""ระยอง!J205"")"),0)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IFERROR(__xludf.DUMMYFUNCTION("IMPORTRANGE(""https://docs.google.com/spreadsheets/d/1SX6NBoVAgQJ6U1MVXOaj8PK2l7WJ3RER9xtqwdhxkhw/edit?usp=sharing"",""ระยอง!J206"")"),0)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IFERROR(__xludf.DUMMYFUNCTION("IMPORTRANGE(""https://docs.google.com/spreadsheets/d/1SX6NBoVAgQJ6U1MVXOaj8PK2l7WJ3RER9xtqwdhxkhw/edit?usp=sharing"",""ระยอง!J207"")"),0)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IFERROR(__xludf.DUMMYFUNCTION("IMPORTRANGE(""https://docs.google.com/spreadsheets/d/1SX6NBoVAgQJ6U1MVXOaj8PK2l7WJ3RER9xtqwdhxkhw/edit?usp=sharing"",""ระยอง!J208"")"),0)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IFERROR(__xludf.DUMMYFUNCTION("IMPORTRANGE(""https://docs.google.com/spreadsheets/d/1SX6NBoVAgQJ6U1MVXOaj8PK2l7WJ3RER9xtqwdhxkhw/edit?usp=sharing"",""ระยอง!I209"")"),0)</f>
        <v>0</v>
      </c>
      <c r="J304" s="204">
        <f ca="1">IFERROR(__xludf.DUMMYFUNCTION("IMPORTRANGE(""https://docs.google.com/spreadsheets/d/1SX6NBoVAgQJ6U1MVXOaj8PK2l7WJ3RER9xtqwdhxkhw/edit?usp=sharing"",""ระยอง!J209"")"),0)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IFERROR(__xludf.DUMMYFUNCTION("IMPORTRANGE(""https://docs.google.com/spreadsheets/d/1SX6NBoVAgQJ6U1MVXOaj8PK2l7WJ3RER9xtqwdhxkhw/edit?usp=sharing"",""ระยอง!I211"")"),0)</f>
        <v>0</v>
      </c>
      <c r="J306" s="204">
        <f ca="1">IFERROR(__xludf.DUMMYFUNCTION("IMPORTRANGE(""https://docs.google.com/spreadsheets/d/1SX6NBoVAgQJ6U1MVXOaj8PK2l7WJ3RER9xtqwdhxkhw/edit?usp=sharing"",""ระยอง!J211"")"),0)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IFERROR(__xludf.DUMMYFUNCTION("IMPORTRANGE(""https://docs.google.com/spreadsheets/d/1SX6NBoVAgQJ6U1MVXOaj8PK2l7WJ3RER9xtqwdhxkhw/edit?usp=sharing"",""ระยอง!J212"")"),0)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IFERROR(__xludf.DUMMYFUNCTION("IMPORTRANGE(""https://docs.google.com/spreadsheets/d/1SX6NBoVAgQJ6U1MVXOaj8PK2l7WJ3RER9xtqwdhxkhw/edit?usp=sharing"",""ระยอง!J213"")"),0)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IFERROR(__xludf.DUMMYFUNCTION("IMPORTRANGE(""https://docs.google.com/spreadsheets/d/1SX6NBoVAgQJ6U1MVXOaj8PK2l7WJ3RER9xtqwdhxkhw/edit?usp=sharing"",""ระยอง!I214"")"),0)</f>
        <v>0</v>
      </c>
      <c r="J309" s="334">
        <f ca="1">IFERROR(__xludf.DUMMYFUNCTION("IMPORTRANGE(""https://docs.google.com/spreadsheets/d/1SX6NBoVAgQJ6U1MVXOaj8PK2l7WJ3RER9xtqwdhxkhw/edit?usp=sharing"",""ระยอง!J214"")"),0)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IFERROR(__xludf.DUMMYFUNCTION("IMPORTRANGE(""https://docs.google.com/spreadsheets/d/1Yj_ptqi66GCucihVvJfMjLAmec39IyEx_6qawtMGysU/edit?usp=sharing"",""สบก!DC72"")"),0)</f>
        <v>0</v>
      </c>
      <c r="N314" s="169">
        <f ca="1">IFERROR(__xludf.DUMMYFUNCTION("IMPORTRANGE(""https://docs.google.com/spreadsheets/d/1Yj_ptqi66GCucihVvJfMjLAmec39IyEx_6qawtMGysU/edit?usp=sharing"",""สบก!DD72"")"),0)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IFERROR(__xludf.DUMMYFUNCTION("IMPORTRANGE(""https://docs.google.com/spreadsheets/d/1Yj_ptqi66GCucihVvJfMjLAmec39IyEx_6qawtMGysU/edit?usp=sharing"",""สบก!DA72"")"),0)</f>
        <v>0</v>
      </c>
      <c r="M318" s="49"/>
      <c r="N318" s="49">
        <f ca="1">IFERROR(__xludf.DUMMYFUNCTION("IMPORTRANGE(""https://docs.google.com/spreadsheets/d/1Yj_ptqi66GCucihVvJfMjLAmec39IyEx_6qawtMGysU/edit?usp=sharing"",""สบก!DE72"")"),0)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IFERROR(__xludf.DUMMYFUNCTION("IMPORTRANGE(""https://docs.google.com/spreadsheets/d/1SX6NBoVAgQJ6U1MVXOaj8PK2l7WJ3RER9xtqwdhxkhw/edit?usp=sharing"",""ระยอง!J220"")"),0)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IFERROR(__xludf.DUMMYFUNCTION("IMPORTRANGE(""https://docs.google.com/spreadsheets/d/1SX6NBoVAgQJ6U1MVXOaj8PK2l7WJ3RER9xtqwdhxkhw/edit?usp=sharing"",""ระยอง!J221"")"),0)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IFERROR(__xludf.DUMMYFUNCTION("IMPORTRANGE(""https://docs.google.com/spreadsheets/d/1SX6NBoVAgQJ6U1MVXOaj8PK2l7WJ3RER9xtqwdhxkhw/edit?usp=sharing"",""ระยอง!J222"")"),0)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IFERROR(__xludf.DUMMYFUNCTION("IMPORTRANGE(""https://docs.google.com/spreadsheets/d/1SX6NBoVAgQJ6U1MVXOaj8PK2l7WJ3RER9xtqwdhxkhw/edit?usp=sharing"",""ระยอง!J223"")"),0)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IFERROR(__xludf.DUMMYFUNCTION("IMPORTRANGE(""https://docs.google.com/spreadsheets/d/1SX6NBoVAgQJ6U1MVXOaj8PK2l7WJ3RER9xtqwdhxkhw/edit?usp=sharing"",""ระยอง!I224"")"),0)</f>
        <v>0</v>
      </c>
      <c r="J324" s="204">
        <f ca="1">IFERROR(__xludf.DUMMYFUNCTION("IMPORTRANGE(""https://docs.google.com/spreadsheets/d/1SX6NBoVAgQJ6U1MVXOaj8PK2l7WJ3RER9xtqwdhxkhw/edit?usp=sharing"",""ระยอง!J224"")"),0)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IFERROR(__xludf.DUMMYFUNCTION("IMPORTRANGE(""https://docs.google.com/spreadsheets/d/1SX6NBoVAgQJ6U1MVXOaj8PK2l7WJ3RER9xtqwdhxkhw/edit?usp=sharing"",""ระยอง!J225"")"),0)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IFERROR(__xludf.DUMMYFUNCTION("IMPORTRANGE(""https://docs.google.com/spreadsheets/d/1SX6NBoVAgQJ6U1MVXOaj8PK2l7WJ3RER9xtqwdhxkhw/edit?usp=sharing"",""ระยอง!J226"")"),0)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IFERROR(__xludf.DUMMYFUNCTION("IMPORTRANGE(""https://docs.google.com/spreadsheets/d/1SX6NBoVAgQJ6U1MVXOaj8PK2l7WJ3RER9xtqwdhxkhw/edit?usp=sharing"",""ระยอง!I228"")"),62)</f>
        <v>62</v>
      </c>
      <c r="J328" s="340">
        <f ca="1">IFERROR(__xludf.DUMMYFUNCTION("IMPORTRANGE(""https://docs.google.com/spreadsheets/d/1SX6NBoVAgQJ6U1MVXOaj8PK2l7WJ3RER9xtqwdhxkhw/edit?usp=sharing"",""ระยอง!J228"")"),33)</f>
        <v>33</v>
      </c>
      <c r="K328" s="318">
        <f ca="1">IF(I328&gt;0,J328*100/I328,0)</f>
        <v>53.225806451612904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786020</v>
      </c>
      <c r="M329" s="152">
        <f t="shared" ca="1" si="98"/>
        <v>824520</v>
      </c>
      <c r="N329" s="152">
        <f t="shared" ca="1" si="98"/>
        <v>596233.42999999993</v>
      </c>
      <c r="O329" s="151">
        <f t="shared" ref="O329:O331" ca="1" si="99">IF(L329&gt;0,N329*100/L329,0)</f>
        <v>75.854740337395981</v>
      </c>
      <c r="P329" s="151">
        <f t="shared" ref="P329:P331" ca="1" si="100">IF(M329&gt;0,N329*100/M329,0)</f>
        <v>72.312791684859064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786020</v>
      </c>
      <c r="M331" s="157">
        <f t="shared" ca="1" si="102"/>
        <v>824520</v>
      </c>
      <c r="N331" s="157">
        <f t="shared" ca="1" si="102"/>
        <v>596233.42999999993</v>
      </c>
      <c r="O331" s="156">
        <f t="shared" ca="1" si="99"/>
        <v>75.854740337395981</v>
      </c>
      <c r="P331" s="156">
        <f t="shared" ca="1" si="100"/>
        <v>72.312791684859064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639020</v>
      </c>
      <c r="M333" s="168">
        <f ca="1">IFERROR(__xludf.DUMMYFUNCTION("IMPORTRANGE(""https://docs.google.com/spreadsheets/d/1Yj_ptqi66GCucihVvJfMjLAmec39IyEx_6qawtMGysU/edit?usp=sharing"",""สบก!DL72"")"),677520)</f>
        <v>677520</v>
      </c>
      <c r="N333" s="169">
        <f ca="1">IFERROR(__xludf.DUMMYFUNCTION("IMPORTRANGE(""https://docs.google.com/spreadsheets/d/1Yj_ptqi66GCucihVvJfMjLAmec39IyEx_6qawtMGysU/edit?usp=sharing"",""สบก!DM72"")"),449233.43)</f>
        <v>449233.43</v>
      </c>
      <c r="O333" s="169">
        <f ca="1">IF(L333&gt;0,N333*100/L333,0)</f>
        <v>70.300370880410625</v>
      </c>
      <c r="P333" s="169">
        <f ca="1">IF(M333&gt;0,N333*100/M333,0)</f>
        <v>66.305559983469124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IFERROR(__xludf.DUMMYFUNCTION("IMPORTRANGE(""https://docs.google.com/spreadsheets/d/1Yj_ptqi66GCucihVvJfMjLAmec39IyEx_6qawtMGysU/edit?usp=sharing"",""สบก!DH72"")"),381200)</f>
        <v>381200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IFERROR(__xludf.DUMMYFUNCTION("IMPORTRANGE(""https://docs.google.com/spreadsheets/d/1Yj_ptqi66GCucihVvJfMjLAmec39IyEx_6qawtMGysU/edit?usp=sharing"",""สบก!DI72"")"),257820)</f>
        <v>257820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IFERROR(__xludf.DUMMYFUNCTION("IMPORTRANGE(""https://docs.google.com/spreadsheets/d/1Yj_ptqi66GCucihVvJfMjLAmec39IyEx_6qawtMGysU/edit?usp=sharing"",""สบก!DJ72"")"),147000)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IFERROR(__xludf.DUMMYFUNCTION("IMPORTRANGE(""https://docs.google.com/spreadsheets/d/1Yj_ptqi66GCucihVvJfMjLAmec39IyEx_6qawtMGysU/edit?usp=sharing"",""สบก!DN72"")"),147000)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IFERROR(__xludf.DUMMYFUNCTION("IMPORTRANGE(""https://docs.google.com/spreadsheets/d/1SX6NBoVAgQJ6U1MVXOaj8PK2l7WJ3RER9xtqwdhxkhw/edit?usp=sharing"",""ระยอง!I234"")"),0)</f>
        <v>0</v>
      </c>
      <c r="J339" s="188">
        <f ca="1">IFERROR(__xludf.DUMMYFUNCTION("IMPORTRANGE(""https://docs.google.com/spreadsheets/d/1SX6NBoVAgQJ6U1MVXOaj8PK2l7WJ3RER9xtqwdhxkhw/edit?usp=sharing"",""ระยอง!J234"")"),115)</f>
        <v>115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IFERROR(__xludf.DUMMYFUNCTION("IMPORTRANGE(""https://docs.google.com/spreadsheets/d/1SX6NBoVAgQJ6U1MVXOaj8PK2l7WJ3RER9xtqwdhxkhw/edit?usp=sharing"",""ระยอง!I235"")"),775)</f>
        <v>775</v>
      </c>
      <c r="J340" s="188">
        <f ca="1">IFERROR(__xludf.DUMMYFUNCTION("IMPORTRANGE(""https://docs.google.com/spreadsheets/d/1SX6NBoVAgQJ6U1MVXOaj8PK2l7WJ3RER9xtqwdhxkhw/edit?usp=sharing"",""ระยอง!J235"")"),956.31)</f>
        <v>956.31</v>
      </c>
      <c r="K340" s="343">
        <f t="shared" ca="1" si="103"/>
        <v>123.39483870967742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IFERROR(__xludf.DUMMYFUNCTION("IMPORTRANGE(""https://docs.google.com/spreadsheets/d/1SX6NBoVAgQJ6U1MVXOaj8PK2l7WJ3RER9xtqwdhxkhw/edit?usp=sharing"",""ระยอง!I236"")"),62)</f>
        <v>62</v>
      </c>
      <c r="J341" s="188">
        <f ca="1">IFERROR(__xludf.DUMMYFUNCTION("IMPORTRANGE(""https://docs.google.com/spreadsheets/d/1SX6NBoVAgQJ6U1MVXOaj8PK2l7WJ3RER9xtqwdhxkhw/edit?usp=sharing"",""ระยอง!J236"")"),83)</f>
        <v>83</v>
      </c>
      <c r="K341" s="343">
        <f t="shared" ca="1" si="103"/>
        <v>133.87096774193549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IFERROR(__xludf.DUMMYFUNCTION("IMPORTRANGE(""https://docs.google.com/spreadsheets/d/1SX6NBoVAgQJ6U1MVXOaj8PK2l7WJ3RER9xtqwdhxkhw/edit?usp=sharing"",""ระยอง!I237"")"),0)</f>
        <v>0</v>
      </c>
      <c r="J342" s="188">
        <f ca="1">IFERROR(__xludf.DUMMYFUNCTION("IMPORTRANGE(""https://docs.google.com/spreadsheets/d/1SX6NBoVAgQJ6U1MVXOaj8PK2l7WJ3RER9xtqwdhxkhw/edit?usp=sharing"",""ระยอง!J237"")"),1095.91)</f>
        <v>1095.9100000000001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IFERROR(__xludf.DUMMYFUNCTION("IMPORTRANGE(""https://docs.google.com/spreadsheets/d/1SX6NBoVAgQJ6U1MVXOaj8PK2l7WJ3RER9xtqwdhxkhw/edit?usp=sharing"",""ระยอง!I238"")"),62)</f>
        <v>62</v>
      </c>
      <c r="J343" s="188">
        <f ca="1">IFERROR(__xludf.DUMMYFUNCTION("IMPORTRANGE(""https://docs.google.com/spreadsheets/d/1SX6NBoVAgQJ6U1MVXOaj8PK2l7WJ3RER9xtqwdhxkhw/edit?usp=sharing"",""ระยอง!J238"")"),0)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IFERROR(__xludf.DUMMYFUNCTION("IMPORTRANGE(""https://docs.google.com/spreadsheets/d/1SX6NBoVAgQJ6U1MVXOaj8PK2l7WJ3RER9xtqwdhxkhw/edit?usp=sharing"",""ระยอง!I239"")"),0)</f>
        <v>0</v>
      </c>
      <c r="J344" s="188">
        <f ca="1">IFERROR(__xludf.DUMMYFUNCTION("IMPORTRANGE(""https://docs.google.com/spreadsheets/d/1SX6NBoVAgQJ6U1MVXOaj8PK2l7WJ3RER9xtqwdhxkhw/edit?usp=sharing"",""ระยอง!J239"")"),0)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IFERROR(__xludf.DUMMYFUNCTION("IMPORTRANGE(""https://docs.google.com/spreadsheets/d/1SX6NBoVAgQJ6U1MVXOaj8PK2l7WJ3RER9xtqwdhxkhw/edit?usp=sharing"",""ระยอง!I240"")"),62)</f>
        <v>62</v>
      </c>
      <c r="J345" s="188">
        <f ca="1">IFERROR(__xludf.DUMMYFUNCTION("IMPORTRANGE(""https://docs.google.com/spreadsheets/d/1SX6NBoVAgQJ6U1MVXOaj8PK2l7WJ3RER9xtqwdhxkhw/edit?usp=sharing"",""ระยอง!J240"")"),33)</f>
        <v>33</v>
      </c>
      <c r="K345" s="343">
        <f t="shared" ca="1" si="103"/>
        <v>53.225806451612904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IFERROR(__xludf.DUMMYFUNCTION("IMPORTRANGE(""https://docs.google.com/spreadsheets/d/1SX6NBoVAgQJ6U1MVXOaj8PK2l7WJ3RER9xtqwdhxkhw/edit?usp=sharing"",""ระยอง!I241"")"),0)</f>
        <v>0</v>
      </c>
      <c r="J346" s="188">
        <f ca="1">IFERROR(__xludf.DUMMYFUNCTION("IMPORTRANGE(""https://docs.google.com/spreadsheets/d/1SX6NBoVAgQJ6U1MVXOaj8PK2l7WJ3RER9xtqwdhxkhw/edit?usp=sharing"",""ระยอง!J241"")"),289.06)</f>
        <v>289.06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IFERROR(__xludf.DUMMYFUNCTION("IMPORTRANGE(""https://docs.google.com/spreadsheets/d/1SX6NBoVAgQJ6U1MVXOaj8PK2l7WJ3RER9xtqwdhxkhw/edit?usp=sharing"",""ระยอง!L242"")"),1102449)</f>
        <v>1102449</v>
      </c>
      <c r="M347" s="358"/>
      <c r="N347" s="358">
        <f ca="1">IFERROR(__xludf.DUMMYFUNCTION("IMPORTRANGE(""https://docs.google.com/spreadsheets/d/1SX6NBoVAgQJ6U1MVXOaj8PK2l7WJ3RER9xtqwdhxkhw/edit?usp=sharing"",""ระยอง!M242"")"),788503)</f>
        <v>788503</v>
      </c>
      <c r="O347" s="358">
        <f ca="1">+IF(L347&gt;0,N347*100/L347,0)</f>
        <v>71.522855025493243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IFERROR(__xludf.DUMMYFUNCTION("IMPORTRANGE(""https://docs.google.com/spreadsheets/d/1SX6NBoVAgQJ6U1MVXOaj8PK2l7WJ3RER9xtqwdhxkhw/edit?usp=sharing"",""ระยอง!I244"")"),80)</f>
        <v>80</v>
      </c>
      <c r="J349" s="371">
        <f ca="1">IFERROR(__xludf.DUMMYFUNCTION("IMPORTRANGE(""https://docs.google.com/spreadsheets/d/1SX6NBoVAgQJ6U1MVXOaj8PK2l7WJ3RER9xtqwdhxkhw/edit?usp=sharing"",""ระยอง!J244"")"),80)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IFERROR(__xludf.DUMMYFUNCTION("IMPORTRANGE(""https://docs.google.com/spreadsheets/d/1SX6NBoVAgQJ6U1MVXOaj8PK2l7WJ3RER9xtqwdhxkhw/edit?usp=sharing"",""ระยอง!L244"")"),280560)</f>
        <v>280560</v>
      </c>
      <c r="M349" s="373"/>
      <c r="N349" s="373">
        <f ca="1">IFERROR(__xludf.DUMMYFUNCTION("IMPORTRANGE(""https://docs.google.com/spreadsheets/d/1SX6NBoVAgQJ6U1MVXOaj8PK2l7WJ3RER9xtqwdhxkhw/edit?usp=sharing"",""ระยอง!M244"")"),197450)</f>
        <v>197450</v>
      </c>
      <c r="O349" s="373">
        <f ca="1">+IF(L349&gt;0,N349*100/L349,0)</f>
        <v>70.377102936983178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IFERROR(__xludf.DUMMYFUNCTION("IMPORTRANGE(""https://docs.google.com/spreadsheets/d/1SX6NBoVAgQJ6U1MVXOaj8PK2l7WJ3RER9xtqwdhxkhw/edit?usp=sharing"",""ระยอง!I245"")"),25)</f>
        <v>25</v>
      </c>
      <c r="J350" s="371">
        <f ca="1">IFERROR(__xludf.DUMMYFUNCTION("IMPORTRANGE(""https://docs.google.com/spreadsheets/d/1SX6NBoVAgQJ6U1MVXOaj8PK2l7WJ3RER9xtqwdhxkhw/edit?usp=sharing"",""ระยอง!J245"")"),25)</f>
        <v>25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IFERROR(__xludf.DUMMYFUNCTION("IMPORTRANGE(""https://docs.google.com/spreadsheets/d/1SX6NBoVAgQJ6U1MVXOaj8PK2l7WJ3RER9xtqwdhxkhw/edit?usp=sharing"",""ระยอง!L246"")"),0)</f>
        <v>0</v>
      </c>
      <c r="M351" s="164"/>
      <c r="N351" s="164">
        <f ca="1">IFERROR(__xludf.DUMMYFUNCTION("IMPORTRANGE(""https://docs.google.com/spreadsheets/d/1SX6NBoVAgQJ6U1MVXOaj8PK2l7WJ3RER9xtqwdhxkhw/edit?usp=sharing"",""ระยอง!M246"")"),0)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IFERROR(__xludf.DUMMYFUNCTION("IMPORTRANGE(""https://docs.google.com/spreadsheets/d/1SX6NBoVAgQJ6U1MVXOaj8PK2l7WJ3RER9xtqwdhxkhw/edit?usp=sharing"",""ระยอง!L247"")"),280560)</f>
        <v>280560</v>
      </c>
      <c r="M352" s="165"/>
      <c r="N352" s="164">
        <f ca="1">IFERROR(__xludf.DUMMYFUNCTION("IMPORTRANGE(""https://docs.google.com/spreadsheets/d/1SX6NBoVAgQJ6U1MVXOaj8PK2l7WJ3RER9xtqwdhxkhw/edit?usp=sharing"",""ระยอง!M247"")"),197450)</f>
        <v>197450</v>
      </c>
      <c r="O352" s="165">
        <f t="shared" ca="1" si="105"/>
        <v>70.377102936983178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IFERROR(__xludf.DUMMYFUNCTION("IMPORTRANGE(""https://docs.google.com/spreadsheets/d/1SX6NBoVAgQJ6U1MVXOaj8PK2l7WJ3RER9xtqwdhxkhw/edit?usp=sharing"",""ระยอง!L248"")"),0)</f>
        <v>0</v>
      </c>
      <c r="M353" s="169"/>
      <c r="N353" s="169">
        <f ca="1">IFERROR(__xludf.DUMMYFUNCTION("IMPORTRANGE(""https://docs.google.com/spreadsheets/d/1SX6NBoVAgQJ6U1MVXOaj8PK2l7WJ3RER9xtqwdhxkhw/edit?usp=sharing"",""ระยอง!M248"")"),0)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IFERROR(__xludf.DUMMYFUNCTION("IMPORTRANGE(""https://docs.google.com/spreadsheets/d/1SX6NBoVAgQJ6U1MVXOaj8PK2l7WJ3RER9xtqwdhxkhw/edit?usp=sharing"",""ระยอง!L249"")"),280560)</f>
        <v>280560</v>
      </c>
      <c r="M354" s="169"/>
      <c r="N354" s="168">
        <f ca="1">IFERROR(__xludf.DUMMYFUNCTION("IMPORTRANGE(""https://docs.google.com/spreadsheets/d/1SX6NBoVAgQJ6U1MVXOaj8PK2l7WJ3RER9xtqwdhxkhw/edit?usp=sharing"",""ระยอง!M249"")"),197450)</f>
        <v>197450</v>
      </c>
      <c r="O354" s="169">
        <f t="shared" ca="1" si="105"/>
        <v>70.377102936983178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IFERROR(__xludf.DUMMYFUNCTION("IMPORTRANGE(""https://docs.google.com/spreadsheets/d/1SX6NBoVAgQJ6U1MVXOaj8PK2l7WJ3RER9xtqwdhxkhw/edit?usp=sharing"",""ระยอง!M250"")"),33775)</f>
        <v>33775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IFERROR(__xludf.DUMMYFUNCTION("IMPORTRANGE(""https://docs.google.com/spreadsheets/d/1SX6NBoVAgQJ6U1MVXOaj8PK2l7WJ3RER9xtqwdhxkhw/edit?usp=sharing"",""ระยอง!M251"")"),70500)</f>
        <v>70500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IFERROR(__xludf.DUMMYFUNCTION("IMPORTRANGE(""https://docs.google.com/spreadsheets/d/1SX6NBoVAgQJ6U1MVXOaj8PK2l7WJ3RER9xtqwdhxkhw/edit?usp=sharing"",""ระยอง!M252"")"),87855)</f>
        <v>87855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IFERROR(__xludf.DUMMYFUNCTION("IMPORTRANGE(""https://docs.google.com/spreadsheets/d/1SX6NBoVAgQJ6U1MVXOaj8PK2l7WJ3RER9xtqwdhxkhw/edit?usp=sharing"",""ระยอง!M253"")"),5320)</f>
        <v>5320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IFERROR(__xludf.DUMMYFUNCTION("IMPORTRANGE(""https://docs.google.com/spreadsheets/d/1SX6NBoVAgQJ6U1MVXOaj8PK2l7WJ3RER9xtqwdhxkhw/edit?usp=sharing"",""ระยอง!J255"")"),0)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IFERROR(__xludf.DUMMYFUNCTION("IMPORTRANGE(""https://docs.google.com/spreadsheets/d/1SX6NBoVAgQJ6U1MVXOaj8PK2l7WJ3RER9xtqwdhxkhw/edit?usp=sharing"",""ระยอง!J256"")"),1)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IFERROR(__xludf.DUMMYFUNCTION("IMPORTRANGE(""https://docs.google.com/spreadsheets/d/1SX6NBoVAgQJ6U1MVXOaj8PK2l7WJ3RER9xtqwdhxkhw/edit?usp=sharing"",""ระยอง!J257"")"),1)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IFERROR(__xludf.DUMMYFUNCTION("IMPORTRANGE(""https://docs.google.com/spreadsheets/d/1SX6NBoVAgQJ6U1MVXOaj8PK2l7WJ3RER9xtqwdhxkhw/edit?usp=sharing"",""ระยอง!J258"")"),1)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IFERROR(__xludf.DUMMYFUNCTION("IMPORTRANGE(""https://docs.google.com/spreadsheets/d/1SX6NBoVAgQJ6U1MVXOaj8PK2l7WJ3RER9xtqwdhxkhw/edit?usp=sharing"",""ระยอง!J166"")"),0)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IFERROR(__xludf.DUMMYFUNCTION("IMPORTRANGE(""https://docs.google.com/spreadsheets/d/1SX6NBoVAgQJ6U1MVXOaj8PK2l7WJ3RER9xtqwdhxkhw/edit?usp=sharing"",""ระยอง!J166"")"),0)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IFERROR(__xludf.DUMMYFUNCTION("IMPORTRANGE(""https://docs.google.com/spreadsheets/d/1SX6NBoVAgQJ6U1MVXOaj8PK2l7WJ3RER9xtqwdhxkhw/edit?usp=sharing"",""ระยอง!J166"")"),0)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IFERROR(__xludf.DUMMYFUNCTION("IMPORTRANGE(""https://docs.google.com/spreadsheets/d/1SX6NBoVAgQJ6U1MVXOaj8PK2l7WJ3RER9xtqwdhxkhw/edit?usp=sharing"",""ระยอง!J166"")"),0)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IFERROR(__xludf.DUMMYFUNCTION("IMPORTRANGE(""https://docs.google.com/spreadsheets/d/1SX6NBoVAgQJ6U1MVXOaj8PK2l7WJ3RER9xtqwdhxkhw/edit?usp=sharing"",""ระยอง!I263"")"),25)</f>
        <v>25</v>
      </c>
      <c r="J368" s="188">
        <f ca="1">IFERROR(__xludf.DUMMYFUNCTION("IMPORTRANGE(""https://docs.google.com/spreadsheets/d/1SX6NBoVAgQJ6U1MVXOaj8PK2l7WJ3RER9xtqwdhxkhw/edit?usp=sharing"",""ระยอง!J263"")"),25)</f>
        <v>25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IFERROR(__xludf.DUMMYFUNCTION("IMPORTRANGE(""https://docs.google.com/spreadsheets/d/1SX6NBoVAgQJ6U1MVXOaj8PK2l7WJ3RER9xtqwdhxkhw/edit?usp=sharing"",""ระยอง!I164"")"),0)</f>
        <v>0</v>
      </c>
      <c r="J369" s="204">
        <f ca="1">IFERROR(__xludf.DUMMYFUNCTION("IMPORTRANGE(""https://docs.google.com/spreadsheets/d/1SX6NBoVAgQJ6U1MVXOaj8PK2l7WJ3RER9xtqwdhxkhw/edit?usp=sharing"",""ระยอง!J164"")"),0)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IFERROR(__xludf.DUMMYFUNCTION("IMPORTRANGE(""https://docs.google.com/spreadsheets/d/1SX6NBoVAgQJ6U1MVXOaj8PK2l7WJ3RER9xtqwdhxkhw/edit?usp=sharing"",""ระยอง!I265"")"),25)</f>
        <v>25</v>
      </c>
      <c r="J370" s="204">
        <f ca="1">IFERROR(__xludf.DUMMYFUNCTION("IMPORTRANGE(""https://docs.google.com/spreadsheets/d/1SX6NBoVAgQJ6U1MVXOaj8PK2l7WJ3RER9xtqwdhxkhw/edit?usp=sharing"",""ระยอง!J265"")"),25)</f>
        <v>25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IFERROR(__xludf.DUMMYFUNCTION("IMPORTRANGE(""https://docs.google.com/spreadsheets/d/1SX6NBoVAgQJ6U1MVXOaj8PK2l7WJ3RER9xtqwdhxkhw/edit?usp=sharing"",""ระยอง!I164"")"),0)</f>
        <v>0</v>
      </c>
      <c r="J371" s="189">
        <f ca="1">IFERROR(__xludf.DUMMYFUNCTION("IMPORTRANGE(""https://docs.google.com/spreadsheets/d/1SX6NBoVAgQJ6U1MVXOaj8PK2l7WJ3RER9xtqwdhxkhw/edit?usp=sharing"",""ระยอง!J164"")"),0)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IFERROR(__xludf.DUMMYFUNCTION("IMPORTRANGE(""https://docs.google.com/spreadsheets/d/1SX6NBoVAgQJ6U1MVXOaj8PK2l7WJ3RER9xtqwdhxkhw/edit?usp=sharing"",""ระยอง!I267"")"),25)</f>
        <v>25</v>
      </c>
      <c r="J372" s="189">
        <f ca="1">IFERROR(__xludf.DUMMYFUNCTION("IMPORTRANGE(""https://docs.google.com/spreadsheets/d/1SX6NBoVAgQJ6U1MVXOaj8PK2l7WJ3RER9xtqwdhxkhw/edit?usp=sharing"",""ระยอง!J267"")"),25)</f>
        <v>25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IFERROR(__xludf.DUMMYFUNCTION("IMPORTRANGE(""https://docs.google.com/spreadsheets/d/1SX6NBoVAgQJ6U1MVXOaj8PK2l7WJ3RER9xtqwdhxkhw/edit?usp=sharing"",""ระยอง!I164"")"),0)</f>
        <v>0</v>
      </c>
      <c r="J373" s="204">
        <f ca="1">IFERROR(__xludf.DUMMYFUNCTION("IMPORTRANGE(""https://docs.google.com/spreadsheets/d/1SX6NBoVAgQJ6U1MVXOaj8PK2l7WJ3RER9xtqwdhxkhw/edit?usp=sharing"",""ระยอง!J164"")"),0)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IFERROR(__xludf.DUMMYFUNCTION("IMPORTRANGE(""https://docs.google.com/spreadsheets/d/1SX6NBoVAgQJ6U1MVXOaj8PK2l7WJ3RER9xtqwdhxkhw/edit?usp=sharing"",""ระยอง!I164"")"),0)</f>
        <v>0</v>
      </c>
      <c r="J374" s="188">
        <f ca="1">IFERROR(__xludf.DUMMYFUNCTION("IMPORTRANGE(""https://docs.google.com/spreadsheets/d/1SX6NBoVAgQJ6U1MVXOaj8PK2l7WJ3RER9xtqwdhxkhw/edit?usp=sharing"",""ระยอง!J164"")"),0)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IFERROR(__xludf.DUMMYFUNCTION("IMPORTRANGE(""https://docs.google.com/spreadsheets/d/1SX6NBoVAgQJ6U1MVXOaj8PK2l7WJ3RER9xtqwdhxkhw/edit?usp=sharing"",""ระยอง!I270"")"),80)</f>
        <v>80</v>
      </c>
      <c r="J375" s="188">
        <f ca="1">IFERROR(__xludf.DUMMYFUNCTION("IMPORTRANGE(""https://docs.google.com/spreadsheets/d/1SX6NBoVAgQJ6U1MVXOaj8PK2l7WJ3RER9xtqwdhxkhw/edit?usp=sharing"",""ระยอง!J270"")"),80)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IFERROR(__xludf.DUMMYFUNCTION("IMPORTRANGE(""https://docs.google.com/spreadsheets/d/1SX6NBoVAgQJ6U1MVXOaj8PK2l7WJ3RER9xtqwdhxkhw/edit?usp=sharing"",""ระยอง!I271"")"),15)</f>
        <v>15</v>
      </c>
      <c r="J376" s="189">
        <f ca="1">IFERROR(__xludf.DUMMYFUNCTION("IMPORTRANGE(""https://docs.google.com/spreadsheets/d/1SX6NBoVAgQJ6U1MVXOaj8PK2l7WJ3RER9xtqwdhxkhw/edit?usp=sharing"",""ระยอง!J271"")"),15)</f>
        <v>15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IFERROR(__xludf.DUMMYFUNCTION("IMPORTRANGE(""https://docs.google.com/spreadsheets/d/1SX6NBoVAgQJ6U1MVXOaj8PK2l7WJ3RER9xtqwdhxkhw/edit?usp=sharing"",""ระยอง!I272"")"),65)</f>
        <v>65</v>
      </c>
      <c r="J377" s="204">
        <f ca="1">IFERROR(__xludf.DUMMYFUNCTION("IMPORTRANGE(""https://docs.google.com/spreadsheets/d/1SX6NBoVAgQJ6U1MVXOaj8PK2l7WJ3RER9xtqwdhxkhw/edit?usp=sharing"",""ระยอง!J272"")"),65)</f>
        <v>65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IFERROR(__xludf.DUMMYFUNCTION("IMPORTRANGE(""https://docs.google.com/spreadsheets/d/1SX6NBoVAgQJ6U1MVXOaj8PK2l7WJ3RER9xtqwdhxkhw/edit?usp=sharing"",""ระยอง!J273"")"),0)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IFERROR(__xludf.DUMMYFUNCTION("IMPORTRANGE(""https://docs.google.com/spreadsheets/d/1SX6NBoVAgQJ6U1MVXOaj8PK2l7WJ3RER9xtqwdhxkhw/edit?usp=sharing"",""ระยอง!J274"")"),0)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IFERROR(__xludf.DUMMYFUNCTION("IMPORTRANGE(""https://docs.google.com/spreadsheets/d/1SX6NBoVAgQJ6U1MVXOaj8PK2l7WJ3RER9xtqwdhxkhw/edit?usp=sharing"",""ระยอง!I275"")"),200)</f>
        <v>200</v>
      </c>
      <c r="J380" s="371">
        <f ca="1">IFERROR(__xludf.DUMMYFUNCTION("IMPORTRANGE(""https://docs.google.com/spreadsheets/d/1SX6NBoVAgQJ6U1MVXOaj8PK2l7WJ3RER9xtqwdhxkhw/edit?usp=sharing"",""ระยอง!J275"")"),200)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IFERROR(__xludf.DUMMYFUNCTION("IMPORTRANGE(""https://docs.google.com/spreadsheets/d/1SX6NBoVAgQJ6U1MVXOaj8PK2l7WJ3RER9xtqwdhxkhw/edit?usp=sharing"",""ระยอง!L275"")"),207560)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IFERROR(__xludf.DUMMYFUNCTION("IMPORTRANGE(""https://docs.google.com/spreadsheets/d/1SX6NBoVAgQJ6U1MVXOaj8PK2l7WJ3RER9xtqwdhxkhw/edit?usp=sharing"",""ระยอง!M275"")"),198460)</f>
        <v>198460</v>
      </c>
      <c r="O380" s="373">
        <f ca="1">+IF(L380&gt;0,N380*100/L380,0)</f>
        <v>95.615725573328191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IFERROR(__xludf.DUMMYFUNCTION("IMPORTRANGE(""https://docs.google.com/spreadsheets/d/1SX6NBoVAgQJ6U1MVXOaj8PK2l7WJ3RER9xtqwdhxkhw/edit?usp=sharing"",""ระยอง!I276"")"),20)</f>
        <v>20</v>
      </c>
      <c r="J381" s="371">
        <f ca="1">IFERROR(__xludf.DUMMYFUNCTION("IMPORTRANGE(""https://docs.google.com/spreadsheets/d/1SX6NBoVAgQJ6U1MVXOaj8PK2l7WJ3RER9xtqwdhxkhw/edit?usp=sharing"",""ระยอง!J276"")"),20)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IFERROR(__xludf.DUMMYFUNCTION("IMPORTRANGE(""https://docs.google.com/spreadsheets/d/1SX6NBoVAgQJ6U1MVXOaj8PK2l7WJ3RER9xtqwdhxkhw/edit?usp=sharing"",""ระยอง!L277"")"),0)</f>
        <v>0</v>
      </c>
      <c r="M382" s="164"/>
      <c r="N382" s="164">
        <f ca="1">IFERROR(__xludf.DUMMYFUNCTION("IMPORTRANGE(""https://docs.google.com/spreadsheets/d/1SX6NBoVAgQJ6U1MVXOaj8PK2l7WJ3RER9xtqwdhxkhw/edit?usp=sharing"",""ระยอง!M277"")"),0)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IFERROR(__xludf.DUMMYFUNCTION("IMPORTRANGE(""https://docs.google.com/spreadsheets/d/1SX6NBoVAgQJ6U1MVXOaj8PK2l7WJ3RER9xtqwdhxkhw/edit?usp=sharing"",""ระยอง!L278"")"),207560)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IFERROR(__xludf.DUMMYFUNCTION("IMPORTRANGE(""https://docs.google.com/spreadsheets/d/1SX6NBoVAgQJ6U1MVXOaj8PK2l7WJ3RER9xtqwdhxkhw/edit?usp=sharing"",""ระยอง!M278"")"),198460)</f>
        <v>198460</v>
      </c>
      <c r="O383" s="165">
        <f t="shared" ca="1" si="109"/>
        <v>95.615725573328191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IFERROR(__xludf.DUMMYFUNCTION("IMPORTRANGE(""https://docs.google.com/spreadsheets/d/1SX6NBoVAgQJ6U1MVXOaj8PK2l7WJ3RER9xtqwdhxkhw/edit?usp=sharing"",""ระยอง!L279"")"),0)</f>
        <v>0</v>
      </c>
      <c r="M384" s="169"/>
      <c r="N384" s="169">
        <f ca="1">IFERROR(__xludf.DUMMYFUNCTION("IMPORTRANGE(""https://docs.google.com/spreadsheets/d/1SX6NBoVAgQJ6U1MVXOaj8PK2l7WJ3RER9xtqwdhxkhw/edit?usp=sharing"",""ระยอง!M279"")"),0)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IFERROR(__xludf.DUMMYFUNCTION("IMPORTRANGE(""https://docs.google.com/spreadsheets/d/1SX6NBoVAgQJ6U1MVXOaj8PK2l7WJ3RER9xtqwdhxkhw/edit?usp=sharing"",""ระยอง!L280"")"),207560)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IFERROR(__xludf.DUMMYFUNCTION("IMPORTRANGE(""https://docs.google.com/spreadsheets/d/1SX6NBoVAgQJ6U1MVXOaj8PK2l7WJ3RER9xtqwdhxkhw/edit?usp=sharing"",""ระยอง!M280"")"),198460)</f>
        <v>198460</v>
      </c>
      <c r="O385" s="169">
        <f t="shared" ca="1" si="109"/>
        <v>95.615725573328191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IFERROR(__xludf.DUMMYFUNCTION("IMPORTRANGE(""https://docs.google.com/spreadsheets/d/1SX6NBoVAgQJ6U1MVXOaj8PK2l7WJ3RER9xtqwdhxkhw/edit?usp=sharing"",""ระยอง!M281"")"),58800)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IFERROR(__xludf.DUMMYFUNCTION("IMPORTRANGE(""https://docs.google.com/spreadsheets/d/1SX6NBoVAgQJ6U1MVXOaj8PK2l7WJ3RER9xtqwdhxkhw/edit?usp=sharing"",""ระยอง!M282"")"),125000)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IFERROR(__xludf.DUMMYFUNCTION("IMPORTRANGE(""https://docs.google.com/spreadsheets/d/1SX6NBoVAgQJ6U1MVXOaj8PK2l7WJ3RER9xtqwdhxkhw/edit?usp=sharing"",""ระยอง!M283"")"),0)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IFERROR(__xludf.DUMMYFUNCTION("IMPORTRANGE(""https://docs.google.com/spreadsheets/d/1SX6NBoVAgQJ6U1MVXOaj8PK2l7WJ3RER9xtqwdhxkhw/edit?usp=sharing"",""ระยอง!M284"")"),14660)</f>
        <v>14660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IFERROR(__xludf.DUMMYFUNCTION("IMPORTRANGE(""https://docs.google.com/spreadsheets/d/1SX6NBoVAgQJ6U1MVXOaj8PK2l7WJ3RER9xtqwdhxkhw/edit?usp=sharing"",""ระยอง!J286"")"),0)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IFERROR(__xludf.DUMMYFUNCTION("IMPORTRANGE(""https://docs.google.com/spreadsheets/d/1SX6NBoVAgQJ6U1MVXOaj8PK2l7WJ3RER9xtqwdhxkhw/edit?usp=sharing"",""ระยอง!J287"")"),1)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IFERROR(__xludf.DUMMYFUNCTION("IMPORTRANGE(""https://docs.google.com/spreadsheets/d/1SX6NBoVAgQJ6U1MVXOaj8PK2l7WJ3RER9xtqwdhxkhw/edit?usp=sharing"",""ระยอง!J288"")"),1)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IFERROR(__xludf.DUMMYFUNCTION("IMPORTRANGE(""https://docs.google.com/spreadsheets/d/1SX6NBoVAgQJ6U1MVXOaj8PK2l7WJ3RER9xtqwdhxkhw/edit?usp=sharing"",""ระยอง!J289"")"),1)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IFERROR(__xludf.DUMMYFUNCTION("IMPORTRANGE(""https://docs.google.com/spreadsheets/d/1SX6NBoVAgQJ6U1MVXOaj8PK2l7WJ3RER9xtqwdhxkhw/edit?usp=sharing"",""ระยอง!I291"")"),20)</f>
        <v>20</v>
      </c>
      <c r="J396" s="198">
        <f ca="1">IFERROR(__xludf.DUMMYFUNCTION("IMPORTRANGE(""https://docs.google.com/spreadsheets/d/1SX6NBoVAgQJ6U1MVXOaj8PK2l7WJ3RER9xtqwdhxkhw/edit?usp=sharing"",""ระยอง!J291"")"),20)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IFERROR(__xludf.DUMMYFUNCTION("IMPORTRANGE(""https://docs.google.com/spreadsheets/d/1SX6NBoVAgQJ6U1MVXOaj8PK2l7WJ3RER9xtqwdhxkhw/edit?usp=sharing"",""ระยอง!I292"")"),200)</f>
        <v>200</v>
      </c>
      <c r="J397" s="198">
        <f ca="1">IFERROR(__xludf.DUMMYFUNCTION("IMPORTRANGE(""https://docs.google.com/spreadsheets/d/1SX6NBoVAgQJ6U1MVXOaj8PK2l7WJ3RER9xtqwdhxkhw/edit?usp=sharing"",""ระยอง!J292"")"),200)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IFERROR(__xludf.DUMMYFUNCTION("IMPORTRANGE(""https://docs.google.com/spreadsheets/d/1SX6NBoVAgQJ6U1MVXOaj8PK2l7WJ3RER9xtqwdhxkhw/edit?usp=sharing"",""ระยอง!I293"")"),20)</f>
        <v>20</v>
      </c>
      <c r="J398" s="198">
        <f ca="1">IFERROR(__xludf.DUMMYFUNCTION("IMPORTRANGE(""https://docs.google.com/spreadsheets/d/1SX6NBoVAgQJ6U1MVXOaj8PK2l7WJ3RER9xtqwdhxkhw/edit?usp=sharing"",""ระยอง!J293"")"),20)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IFERROR(__xludf.DUMMYFUNCTION("IMPORTRANGE(""https://docs.google.com/spreadsheets/d/1SX6NBoVAgQJ6U1MVXOaj8PK2l7WJ3RER9xtqwdhxkhw/edit?usp=sharing"",""ระยอง!J294"")"),0)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IFERROR(__xludf.DUMMYFUNCTION("IMPORTRANGE(""https://docs.google.com/spreadsheets/d/1SX6NBoVAgQJ6U1MVXOaj8PK2l7WJ3RER9xtqwdhxkhw/edit?usp=sharing"",""ระยอง!J295"")"),0)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IFERROR(__xludf.DUMMYFUNCTION("IMPORTRANGE(""https://docs.google.com/spreadsheets/d/1SX6NBoVAgQJ6U1MVXOaj8PK2l7WJ3RER9xtqwdhxkhw/edit?usp=sharing"",""ระยอง!I296"")"),135)</f>
        <v>135</v>
      </c>
      <c r="J401" s="371">
        <f ca="1">IFERROR(__xludf.DUMMYFUNCTION("IMPORTRANGE(""https://docs.google.com/spreadsheets/d/1SX6NBoVAgQJ6U1MVXOaj8PK2l7WJ3RER9xtqwdhxkhw/edit?usp=sharing"",""ระยอง!J296"")"),135)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IFERROR(__xludf.DUMMYFUNCTION("IMPORTRANGE(""https://docs.google.com/spreadsheets/d/1SX6NBoVAgQJ6U1MVXOaj8PK2l7WJ3RER9xtqwdhxkhw/edit?usp=sharing"",""ระยอง!L296"")"),156040)</f>
        <v>156040</v>
      </c>
      <c r="M401" s="373"/>
      <c r="N401" s="373">
        <f ca="1">IFERROR(__xludf.DUMMYFUNCTION("IMPORTRANGE(""https://docs.google.com/spreadsheets/d/1SX6NBoVAgQJ6U1MVXOaj8PK2l7WJ3RER9xtqwdhxkhw/edit?usp=sharing"",""ระยอง!M296"")"),141780)</f>
        <v>141780</v>
      </c>
      <c r="O401" s="373">
        <f ca="1">+IF(L401&gt;0,N401*100/L401,0)</f>
        <v>90.861317610869008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IFERROR(__xludf.DUMMYFUNCTION("IMPORTRANGE(""https://docs.google.com/spreadsheets/d/1SX6NBoVAgQJ6U1MVXOaj8PK2l7WJ3RER9xtqwdhxkhw/edit?usp=sharing"",""ระยอง!I297"")"),45)</f>
        <v>45</v>
      </c>
      <c r="J402" s="371">
        <f ca="1">IFERROR(__xludf.DUMMYFUNCTION("IMPORTRANGE(""https://docs.google.com/spreadsheets/d/1SX6NBoVAgQJ6U1MVXOaj8PK2l7WJ3RER9xtqwdhxkhw/edit?usp=sharing"",""ระยอง!J297"")"),45)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IFERROR(__xludf.DUMMYFUNCTION("IMPORTRANGE(""https://docs.google.com/spreadsheets/d/1SX6NBoVAgQJ6U1MVXOaj8PK2l7WJ3RER9xtqwdhxkhw/edit?usp=sharing"",""ระยอง!L298"")"),0)</f>
        <v>0</v>
      </c>
      <c r="M403" s="164"/>
      <c r="N403" s="169">
        <f ca="1">IFERROR(__xludf.DUMMYFUNCTION("IMPORTRANGE(""https://docs.google.com/spreadsheets/d/1SX6NBoVAgQJ6U1MVXOaj8PK2l7WJ3RER9xtqwdhxkhw/edit?usp=sharing"",""ระยอง!M298"")"),0)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IFERROR(__xludf.DUMMYFUNCTION("IMPORTRANGE(""https://docs.google.com/spreadsheets/d/1SX6NBoVAgQJ6U1MVXOaj8PK2l7WJ3RER9xtqwdhxkhw/edit?usp=sharing"",""ระยอง!L299"")"),156040)</f>
        <v>156040</v>
      </c>
      <c r="M404" s="165"/>
      <c r="N404" s="169">
        <f ca="1">IFERROR(__xludf.DUMMYFUNCTION("IMPORTRANGE(""https://docs.google.com/spreadsheets/d/1SX6NBoVAgQJ6U1MVXOaj8PK2l7WJ3RER9xtqwdhxkhw/edit?usp=sharing"",""ระยอง!M299"")"),141780)</f>
        <v>141780</v>
      </c>
      <c r="O404" s="169">
        <f t="shared" ca="1" si="112"/>
        <v>90.861317610869008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IFERROR(__xludf.DUMMYFUNCTION("IMPORTRANGE(""https://docs.google.com/spreadsheets/d/1SX6NBoVAgQJ6U1MVXOaj8PK2l7WJ3RER9xtqwdhxkhw/edit?usp=sharing"",""ระยอง!L300"")"),0)</f>
        <v>0</v>
      </c>
      <c r="M405" s="169"/>
      <c r="N405" s="169">
        <f ca="1">IFERROR(__xludf.DUMMYFUNCTION("IMPORTRANGE(""https://docs.google.com/spreadsheets/d/1SX6NBoVAgQJ6U1MVXOaj8PK2l7WJ3RER9xtqwdhxkhw/edit?usp=sharing"",""ระยอง!M300"")"),0)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IFERROR(__xludf.DUMMYFUNCTION("IMPORTRANGE(""https://docs.google.com/spreadsheets/d/1SX6NBoVAgQJ6U1MVXOaj8PK2l7WJ3RER9xtqwdhxkhw/edit?usp=sharing"",""ระยอง!L301"")"),156040)</f>
        <v>156040</v>
      </c>
      <c r="M406" s="169"/>
      <c r="N406" s="169">
        <f ca="1">IFERROR(__xludf.DUMMYFUNCTION("IMPORTRANGE(""https://docs.google.com/spreadsheets/d/1SX6NBoVAgQJ6U1MVXOaj8PK2l7WJ3RER9xtqwdhxkhw/edit?usp=sharing"",""ระยอง!M301"")"),141780)</f>
        <v>141780</v>
      </c>
      <c r="O406" s="169">
        <f t="shared" ca="1" si="112"/>
        <v>90.861317610869008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IFERROR(__xludf.DUMMYFUNCTION("IMPORTRANGE(""https://docs.google.com/spreadsheets/d/1SX6NBoVAgQJ6U1MVXOaj8PK2l7WJ3RER9xtqwdhxkhw/edit?usp=sharing"",""ระยอง!M302"")"),92540)</f>
        <v>92540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IFERROR(__xludf.DUMMYFUNCTION("IMPORTRANGE(""https://docs.google.com/spreadsheets/d/1SX6NBoVAgQJ6U1MVXOaj8PK2l7WJ3RER9xtqwdhxkhw/edit?usp=sharing"",""ระยอง!M303"")"),33700)</f>
        <v>33700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IFERROR(__xludf.DUMMYFUNCTION("IMPORTRANGE(""https://docs.google.com/spreadsheets/d/1SX6NBoVAgQJ6U1MVXOaj8PK2l7WJ3RER9xtqwdhxkhw/edit?usp=sharing"",""ระยอง!M304"")"),0)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IFERROR(__xludf.DUMMYFUNCTION("IMPORTRANGE(""https://docs.google.com/spreadsheets/d/1SX6NBoVAgQJ6U1MVXOaj8PK2l7WJ3RER9xtqwdhxkhw/edit?usp=sharing"",""ระยอง!M305"")"),15540)</f>
        <v>15540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IFERROR(__xludf.DUMMYFUNCTION("IMPORTRANGE(""https://docs.google.com/spreadsheets/d/1SX6NBoVAgQJ6U1MVXOaj8PK2l7WJ3RER9xtqwdhxkhw/edit?usp=sharing"",""ระยอง!J307"")"),0)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IFERROR(__xludf.DUMMYFUNCTION("IMPORTRANGE(""https://docs.google.com/spreadsheets/d/1SX6NBoVAgQJ6U1MVXOaj8PK2l7WJ3RER9xtqwdhxkhw/edit?usp=sharing"",""ระยอง!J308"")"),1)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IFERROR(__xludf.DUMMYFUNCTION("IMPORTRANGE(""https://docs.google.com/spreadsheets/d/1SX6NBoVAgQJ6U1MVXOaj8PK2l7WJ3RER9xtqwdhxkhw/edit?usp=sharing"",""ระยอง!J309"")"),1)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IFERROR(__xludf.DUMMYFUNCTION("IMPORTRANGE(""https://docs.google.com/spreadsheets/d/1SX6NBoVAgQJ6U1MVXOaj8PK2l7WJ3RER9xtqwdhxkhw/edit?usp=sharing"",""ระยอง!J310"")"),1)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IFERROR(__xludf.DUMMYFUNCTION("IMPORTRANGE(""https://docs.google.com/spreadsheets/d/1SX6NBoVAgQJ6U1MVXOaj8PK2l7WJ3RER9xtqwdhxkhw/edit?usp=sharing"",""ระยอง!I311"")"),45)</f>
        <v>45</v>
      </c>
      <c r="J416" s="201">
        <f ca="1">IFERROR(__xludf.DUMMYFUNCTION("IMPORTRANGE(""https://docs.google.com/spreadsheets/d/1SX6NBoVAgQJ6U1MVXOaj8PK2l7WJ3RER9xtqwdhxkhw/edit?usp=sharing"",""ระยอง!J311"")"),45)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IFERROR(__xludf.DUMMYFUNCTION("IMPORTRANGE(""https://docs.google.com/spreadsheets/d/1SX6NBoVAgQJ6U1MVXOaj8PK2l7WJ3RER9xtqwdhxkhw/edit?usp=sharing"",""ระยอง!I312"")"),15)</f>
        <v>15</v>
      </c>
      <c r="J417" s="392">
        <f ca="1">IFERROR(__xludf.DUMMYFUNCTION("IMPORTRANGE(""https://docs.google.com/spreadsheets/d/1SX6NBoVAgQJ6U1MVXOaj8PK2l7WJ3RER9xtqwdhxkhw/edit?usp=sharing"",""ระยอง!J312"")"),15)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IFERROR(__xludf.DUMMYFUNCTION("IMPORTRANGE(""https://docs.google.com/spreadsheets/d/1SX6NBoVAgQJ6U1MVXOaj8PK2l7WJ3RER9xtqwdhxkhw/edit?usp=sharing"",""ระยอง!I313"")"),45)</f>
        <v>45</v>
      </c>
      <c r="J418" s="393">
        <f ca="1">IFERROR(__xludf.DUMMYFUNCTION("IMPORTRANGE(""https://docs.google.com/spreadsheets/d/1SX6NBoVAgQJ6U1MVXOaj8PK2l7WJ3RER9xtqwdhxkhw/edit?usp=sharing"",""ระยอง!J313"")"),45)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IFERROR(__xludf.DUMMYFUNCTION("IMPORTRANGE(""https://docs.google.com/spreadsheets/d/1SX6NBoVAgQJ6U1MVXOaj8PK2l7WJ3RER9xtqwdhxkhw/edit?usp=sharing"",""ระยอง!I314"")"),15)</f>
        <v>15</v>
      </c>
      <c r="J419" s="394">
        <f ca="1">IFERROR(__xludf.DUMMYFUNCTION("IMPORTRANGE(""https://docs.google.com/spreadsheets/d/1SX6NBoVAgQJ6U1MVXOaj8PK2l7WJ3RER9xtqwdhxkhw/edit?usp=sharing"",""ระยอง!J314"")"),15)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IFERROR(__xludf.DUMMYFUNCTION("IMPORTRANGE(""https://docs.google.com/spreadsheets/d/1SX6NBoVAgQJ6U1MVXOaj8PK2l7WJ3RER9xtqwdhxkhw/edit?usp=sharing"",""ระยอง!I315"")"),15)</f>
        <v>15</v>
      </c>
      <c r="J420" s="394">
        <f ca="1">IFERROR(__xludf.DUMMYFUNCTION("IMPORTRANGE(""https://docs.google.com/spreadsheets/d/1SX6NBoVAgQJ6U1MVXOaj8PK2l7WJ3RER9xtqwdhxkhw/edit?usp=sharing"",""ระยอง!J315"")"),15)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IFERROR(__xludf.DUMMYFUNCTION("IMPORTRANGE(""https://docs.google.com/spreadsheets/d/1SX6NBoVAgQJ6U1MVXOaj8PK2l7WJ3RER9xtqwdhxkhw/edit?usp=sharing"",""ระยอง!I316"")"),16)</f>
        <v>16</v>
      </c>
      <c r="J421" s="392">
        <f ca="1">IFERROR(__xludf.DUMMYFUNCTION("IMPORTRANGE(""https://docs.google.com/spreadsheets/d/1SX6NBoVAgQJ6U1MVXOaj8PK2l7WJ3RER9xtqwdhxkhw/edit?usp=sharing"",""ระยอง!J316"")"),16)</f>
        <v>16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IFERROR(__xludf.DUMMYFUNCTION("IMPORTRANGE(""https://docs.google.com/spreadsheets/d/1SX6NBoVAgQJ6U1MVXOaj8PK2l7WJ3RER9xtqwdhxkhw/edit?usp=sharing"",""ระยอง!I317"")"),48)</f>
        <v>48</v>
      </c>
      <c r="J422" s="393">
        <f ca="1">IFERROR(__xludf.DUMMYFUNCTION("IMPORTRANGE(""https://docs.google.com/spreadsheets/d/1SX6NBoVAgQJ6U1MVXOaj8PK2l7WJ3RER9xtqwdhxkhw/edit?usp=sharing"",""ระยอง!J317"")"),48)</f>
        <v>48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IFERROR(__xludf.DUMMYFUNCTION("IMPORTRANGE(""https://docs.google.com/spreadsheets/d/1SX6NBoVAgQJ6U1MVXOaj8PK2l7WJ3RER9xtqwdhxkhw/edit?usp=sharing"",""ระยอง!I318"")"),16)</f>
        <v>16</v>
      </c>
      <c r="J423" s="394">
        <f ca="1">IFERROR(__xludf.DUMMYFUNCTION("IMPORTRANGE(""https://docs.google.com/spreadsheets/d/1SX6NBoVAgQJ6U1MVXOaj8PK2l7WJ3RER9xtqwdhxkhw/edit?usp=sharing"",""ระยอง!J318"")"),16)</f>
        <v>16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IFERROR(__xludf.DUMMYFUNCTION("IMPORTRANGE(""https://docs.google.com/spreadsheets/d/1SX6NBoVAgQJ6U1MVXOaj8PK2l7WJ3RER9xtqwdhxkhw/edit?usp=sharing"",""ระยอง!I319"")"),16)</f>
        <v>16</v>
      </c>
      <c r="J424" s="394">
        <f ca="1">IFERROR(__xludf.DUMMYFUNCTION("IMPORTRANGE(""https://docs.google.com/spreadsheets/d/1SX6NBoVAgQJ6U1MVXOaj8PK2l7WJ3RER9xtqwdhxkhw/edit?usp=sharing"",""ระยอง!J319"")"),16)</f>
        <v>16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IFERROR(__xludf.DUMMYFUNCTION("IMPORTRANGE(""https://docs.google.com/spreadsheets/d/1SX6NBoVAgQJ6U1MVXOaj8PK2l7WJ3RER9xtqwdhxkhw/edit?usp=sharing"",""ระยอง!I320"")"),16)</f>
        <v>16</v>
      </c>
      <c r="J425" s="394">
        <f ca="1">IFERROR(__xludf.DUMMYFUNCTION("IMPORTRANGE(""https://docs.google.com/spreadsheets/d/1SX6NBoVAgQJ6U1MVXOaj8PK2l7WJ3RER9xtqwdhxkhw/edit?usp=sharing"",""ระยอง!J320"")"),16)</f>
        <v>16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IFERROR(__xludf.DUMMYFUNCTION("IMPORTRANGE(""https://docs.google.com/spreadsheets/d/1SX6NBoVAgQJ6U1MVXOaj8PK2l7WJ3RER9xtqwdhxkhw/edit?usp=sharing"",""ระยอง!I321"")"),14)</f>
        <v>14</v>
      </c>
      <c r="J426" s="392">
        <f ca="1">IFERROR(__xludf.DUMMYFUNCTION("IMPORTRANGE(""https://docs.google.com/spreadsheets/d/1SX6NBoVAgQJ6U1MVXOaj8PK2l7WJ3RER9xtqwdhxkhw/edit?usp=sharing"",""ระยอง!J321"")"),14)</f>
        <v>14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IFERROR(__xludf.DUMMYFUNCTION("IMPORTRANGE(""https://docs.google.com/spreadsheets/d/1SX6NBoVAgQJ6U1MVXOaj8PK2l7WJ3RER9xtqwdhxkhw/edit?usp=sharing"",""ระยอง!I322"")"),42)</f>
        <v>42</v>
      </c>
      <c r="J427" s="393">
        <f ca="1">IFERROR(__xludf.DUMMYFUNCTION("IMPORTRANGE(""https://docs.google.com/spreadsheets/d/1SX6NBoVAgQJ6U1MVXOaj8PK2l7WJ3RER9xtqwdhxkhw/edit?usp=sharing"",""ระยอง!J322"")"),42)</f>
        <v>42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IFERROR(__xludf.DUMMYFUNCTION("IMPORTRANGE(""https://docs.google.com/spreadsheets/d/1SX6NBoVAgQJ6U1MVXOaj8PK2l7WJ3RER9xtqwdhxkhw/edit?usp=sharing"",""ระยอง!I323"")"),14)</f>
        <v>14</v>
      </c>
      <c r="J428" s="394">
        <f ca="1">IFERROR(__xludf.DUMMYFUNCTION("IMPORTRANGE(""https://docs.google.com/spreadsheets/d/1SX6NBoVAgQJ6U1MVXOaj8PK2l7WJ3RER9xtqwdhxkhw/edit?usp=sharing"",""ระยอง!J323"")"),14)</f>
        <v>14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IFERROR(__xludf.DUMMYFUNCTION("IMPORTRANGE(""https://docs.google.com/spreadsheets/d/1SX6NBoVAgQJ6U1MVXOaj8PK2l7WJ3RER9xtqwdhxkhw/edit?usp=sharing"",""ระยอง!I324"")"),14)</f>
        <v>14</v>
      </c>
      <c r="J429" s="394">
        <f ca="1">IFERROR(__xludf.DUMMYFUNCTION("IMPORTRANGE(""https://docs.google.com/spreadsheets/d/1SX6NBoVAgQJ6U1MVXOaj8PK2l7WJ3RER9xtqwdhxkhw/edit?usp=sharing"",""ระยอง!J324"")"),14)</f>
        <v>14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IFERROR(__xludf.DUMMYFUNCTION("IMPORTRANGE(""https://docs.google.com/spreadsheets/d/1SX6NBoVAgQJ6U1MVXOaj8PK2l7WJ3RER9xtqwdhxkhw/edit?usp=sharing"",""ระยอง!I325"")"),31)</f>
        <v>31</v>
      </c>
      <c r="J430" s="392">
        <f ca="1">IFERROR(__xludf.DUMMYFUNCTION("IMPORTRANGE(""https://docs.google.com/spreadsheets/d/1SX6NBoVAgQJ6U1MVXOaj8PK2l7WJ3RER9xtqwdhxkhw/edit?usp=sharing"",""ระยอง!J325"")"),31)</f>
        <v>31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IFERROR(__xludf.DUMMYFUNCTION("IMPORTRANGE(""https://docs.google.com/spreadsheets/d/1SX6NBoVAgQJ6U1MVXOaj8PK2l7WJ3RER9xtqwdhxkhw/edit?usp=sharing"",""ระยอง!I326"")"),15)</f>
        <v>15</v>
      </c>
      <c r="J431" s="394">
        <f ca="1">IFERROR(__xludf.DUMMYFUNCTION("IMPORTRANGE(""https://docs.google.com/spreadsheets/d/1SX6NBoVAgQJ6U1MVXOaj8PK2l7WJ3RER9xtqwdhxkhw/edit?usp=sharing"",""ระยอง!J326"")"),15)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IFERROR(__xludf.DUMMYFUNCTION("IMPORTRANGE(""https://docs.google.com/spreadsheets/d/1SX6NBoVAgQJ6U1MVXOaj8PK2l7WJ3RER9xtqwdhxkhw/edit?usp=sharing"",""ระยอง!I327"")"),16)</f>
        <v>16</v>
      </c>
      <c r="J432" s="394">
        <f ca="1">IFERROR(__xludf.DUMMYFUNCTION("IMPORTRANGE(""https://docs.google.com/spreadsheets/d/1SX6NBoVAgQJ6U1MVXOaj8PK2l7WJ3RER9xtqwdhxkhw/edit?usp=sharing"",""ระยอง!J327"")"),16)</f>
        <v>16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IFERROR(__xludf.DUMMYFUNCTION("IMPORTRANGE(""https://docs.google.com/spreadsheets/d/1SX6NBoVAgQJ6U1MVXOaj8PK2l7WJ3RER9xtqwdhxkhw/edit?usp=sharing"",""ระยอง!J328"")"),0)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IFERROR(__xludf.DUMMYFUNCTION("IMPORTRANGE(""https://docs.google.com/spreadsheets/d/1SX6NBoVAgQJ6U1MVXOaj8PK2l7WJ3RER9xtqwdhxkhw/edit?usp=sharing"",""ระยอง!J329"")"),0)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IFERROR(__xludf.DUMMYFUNCTION("IMPORTRANGE(""https://docs.google.com/spreadsheets/d/1SX6NBoVAgQJ6U1MVXOaj8PK2l7WJ3RER9xtqwdhxkhw/edit?usp=sharing"",""ระยอง!I330"")"),20)</f>
        <v>20</v>
      </c>
      <c r="J435" s="410">
        <f ca="1">IFERROR(__xludf.DUMMYFUNCTION("IMPORTRANGE(""https://docs.google.com/spreadsheets/d/1SX6NBoVAgQJ6U1MVXOaj8PK2l7WJ3RER9xtqwdhxkhw/edit?usp=sharing"",""ระยอง!J330"")"),20)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IFERROR(__xludf.DUMMYFUNCTION("IMPORTRANGE(""https://docs.google.com/spreadsheets/d/1SX6NBoVAgQJ6U1MVXOaj8PK2l7WJ3RER9xtqwdhxkhw/edit?usp=sharing"",""ระยอง!L330"")"),100000)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IFERROR(__xludf.DUMMYFUNCTION("IMPORTRANGE(""https://docs.google.com/spreadsheets/d/1SX6NBoVAgQJ6U1MVXOaj8PK2l7WJ3RER9xtqwdhxkhw/edit?usp=sharing"",""ระยอง!M330"")"),48200)</f>
        <v>48200</v>
      </c>
      <c r="O435" s="412">
        <f t="shared" ref="O435:O439" ca="1" si="114">+IF(L435&gt;0,N435*100/L435,0)</f>
        <v>48.2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IFERROR(__xludf.DUMMYFUNCTION("IMPORTRANGE(""https://docs.google.com/spreadsheets/d/1SX6NBoVAgQJ6U1MVXOaj8PK2l7WJ3RER9xtqwdhxkhw/edit?usp=sharing"",""ระยอง!L331"")"),0)</f>
        <v>0</v>
      </c>
      <c r="M436" s="164"/>
      <c r="N436" s="169">
        <f ca="1">IFERROR(__xludf.DUMMYFUNCTION("IMPORTRANGE(""https://docs.google.com/spreadsheets/d/1SX6NBoVAgQJ6U1MVXOaj8PK2l7WJ3RER9xtqwdhxkhw/edit?usp=sharing"",""ระยอง!M331"")"),0)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IFERROR(__xludf.DUMMYFUNCTION("IMPORTRANGE(""https://docs.google.com/spreadsheets/d/1SX6NBoVAgQJ6U1MVXOaj8PK2l7WJ3RER9xtqwdhxkhw/edit?usp=sharing"",""ระยอง!L332"")"),100000)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IFERROR(__xludf.DUMMYFUNCTION("IMPORTRANGE(""https://docs.google.com/spreadsheets/d/1SX6NBoVAgQJ6U1MVXOaj8PK2l7WJ3RER9xtqwdhxkhw/edit?usp=sharing"",""ระยอง!M332"")"),48200)</f>
        <v>48200</v>
      </c>
      <c r="O437" s="169">
        <f t="shared" ca="1" si="114"/>
        <v>48.2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IFERROR(__xludf.DUMMYFUNCTION("IMPORTRANGE(""https://docs.google.com/spreadsheets/d/1SX6NBoVAgQJ6U1MVXOaj8PK2l7WJ3RER9xtqwdhxkhw/edit?usp=sharing"",""ระยอง!L333"")"),0)</f>
        <v>0</v>
      </c>
      <c r="M438" s="169"/>
      <c r="N438" s="169">
        <f ca="1">IFERROR(__xludf.DUMMYFUNCTION("IMPORTRANGE(""https://docs.google.com/spreadsheets/d/1SX6NBoVAgQJ6U1MVXOaj8PK2l7WJ3RER9xtqwdhxkhw/edit?usp=sharing"",""ระยอง!M333"")"),0)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IFERROR(__xludf.DUMMYFUNCTION("IMPORTRANGE(""https://docs.google.com/spreadsheets/d/1SX6NBoVAgQJ6U1MVXOaj8PK2l7WJ3RER9xtqwdhxkhw/edit?usp=sharing"",""ระยอง!L334"")"),100000)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IFERROR(__xludf.DUMMYFUNCTION("IMPORTRANGE(""https://docs.google.com/spreadsheets/d/1SX6NBoVAgQJ6U1MVXOaj8PK2l7WJ3RER9xtqwdhxkhw/edit?usp=sharing"",""ระยอง!M334"")"),48200)</f>
        <v>48200</v>
      </c>
      <c r="O439" s="169">
        <f t="shared" ca="1" si="114"/>
        <v>48.2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IFERROR(__xludf.DUMMYFUNCTION("IMPORTRANGE(""https://docs.google.com/spreadsheets/d/1SX6NBoVAgQJ6U1MVXOaj8PK2l7WJ3RER9xtqwdhxkhw/edit?usp=sharing"",""ระยอง!M335"")"),48200)</f>
        <v>48200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IFERROR(__xludf.DUMMYFUNCTION("IMPORTRANGE(""https://docs.google.com/spreadsheets/d/1SX6NBoVAgQJ6U1MVXOaj8PK2l7WJ3RER9xtqwdhxkhw/edit?usp=sharing"",""ระยอง!M336"")"),0)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IFERROR(__xludf.DUMMYFUNCTION("IMPORTRANGE(""https://docs.google.com/spreadsheets/d/1SX6NBoVAgQJ6U1MVXOaj8PK2l7WJ3RER9xtqwdhxkhw/edit?usp=sharing"",""ระยอง!M337"")"),0)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IFERROR(__xludf.DUMMYFUNCTION("IMPORTRANGE(""https://docs.google.com/spreadsheets/d/1SX6NBoVAgQJ6U1MVXOaj8PK2l7WJ3RER9xtqwdhxkhw/edit?usp=sharing"",""ระยอง!M338"")"),0)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IFERROR(__xludf.DUMMYFUNCTION("IMPORTRANGE(""https://docs.google.com/spreadsheets/d/1SX6NBoVAgQJ6U1MVXOaj8PK2l7WJ3RER9xtqwdhxkhw/edit?usp=sharing"",""ระยอง!J340"")"),0)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IFERROR(__xludf.DUMMYFUNCTION("IMPORTRANGE(""https://docs.google.com/spreadsheets/d/1SX6NBoVAgQJ6U1MVXOaj8PK2l7WJ3RER9xtqwdhxkhw/edit?usp=sharing"",""ระยอง!J341"")"),1)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IFERROR(__xludf.DUMMYFUNCTION("IMPORTRANGE(""https://docs.google.com/spreadsheets/d/1SX6NBoVAgQJ6U1MVXOaj8PK2l7WJ3RER9xtqwdhxkhw/edit?usp=sharing"",""ระยอง!J342"")"),1)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IFERROR(__xludf.DUMMYFUNCTION("IMPORTRANGE(""https://docs.google.com/spreadsheets/d/1SX6NBoVAgQJ6U1MVXOaj8PK2l7WJ3RER9xtqwdhxkhw/edit?usp=sharing"",""ระยอง!J343"")"),1)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IFERROR(__xludf.DUMMYFUNCTION("IMPORTRANGE(""https://docs.google.com/spreadsheets/d/1SX6NBoVAgQJ6U1MVXOaj8PK2l7WJ3RER9xtqwdhxkhw/edit?usp=sharing"",""ระยอง!I344"")"),20)</f>
        <v>20</v>
      </c>
      <c r="J449" s="201">
        <f ca="1">IFERROR(__xludf.DUMMYFUNCTION("IMPORTRANGE(""https://docs.google.com/spreadsheets/d/1SX6NBoVAgQJ6U1MVXOaj8PK2l7WJ3RER9xtqwdhxkhw/edit?usp=sharing"",""ระยอง!J344"")"),20)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IFERROR(__xludf.DUMMYFUNCTION("IMPORTRANGE(""https://docs.google.com/spreadsheets/d/1SX6NBoVAgQJ6U1MVXOaj8PK2l7WJ3RER9xtqwdhxkhw/edit?usp=sharing"",""ระยอง!I345"")"),20)</f>
        <v>20</v>
      </c>
      <c r="J450" s="189">
        <f ca="1">IFERROR(__xludf.DUMMYFUNCTION("IMPORTRANGE(""https://docs.google.com/spreadsheets/d/1SX6NBoVAgQJ6U1MVXOaj8PK2l7WJ3RER9xtqwdhxkhw/edit?usp=sharing"",""ระยอง!J345"")"),20)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IFERROR(__xludf.DUMMYFUNCTION("IMPORTRANGE(""https://docs.google.com/spreadsheets/d/1SX6NBoVAgQJ6U1MVXOaj8PK2l7WJ3RER9xtqwdhxkhw/edit?usp=sharing"",""ระยอง!I346"")"),0)</f>
        <v>0</v>
      </c>
      <c r="J451" s="188">
        <f ca="1">IFERROR(__xludf.DUMMYFUNCTION("IMPORTRANGE(""https://docs.google.com/spreadsheets/d/1SX6NBoVAgQJ6U1MVXOaj8PK2l7WJ3RER9xtqwdhxkhw/edit?usp=sharing"",""ระยอง!J346"")"),0)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IFERROR(__xludf.DUMMYFUNCTION("IMPORTRANGE(""https://docs.google.com/spreadsheets/d/1SX6NBoVAgQJ6U1MVXOaj8PK2l7WJ3RER9xtqwdhxkhw/edit?usp=sharing"",""ระยอง!I347"")"),0)</f>
        <v>0</v>
      </c>
      <c r="J452" s="188">
        <f ca="1">IFERROR(__xludf.DUMMYFUNCTION("IMPORTRANGE(""https://docs.google.com/spreadsheets/d/1SX6NBoVAgQJ6U1MVXOaj8PK2l7WJ3RER9xtqwdhxkhw/edit?usp=sharing"",""ระยอง!J347"")"),0)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IFERROR(__xludf.DUMMYFUNCTION("IMPORTRANGE(""https://docs.google.com/spreadsheets/d/1SX6NBoVAgQJ6U1MVXOaj8PK2l7WJ3RER9xtqwdhxkhw/edit?usp=sharing"",""ระยอง!J348"")"),0)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IFERROR(__xludf.DUMMYFUNCTION("IMPORTRANGE(""https://docs.google.com/spreadsheets/d/1SX6NBoVAgQJ6U1MVXOaj8PK2l7WJ3RER9xtqwdhxkhw/edit?usp=sharing"",""ระยอง!J349"")"),0)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IFERROR(__xludf.DUMMYFUNCTION("IMPORTRANGE(""https://docs.google.com/spreadsheets/d/1SX6NBoVAgQJ6U1MVXOaj8PK2l7WJ3RER9xtqwdhxkhw/edit?usp=sharing"",""ระยอง!I350"")"),7395)</f>
        <v>7395</v>
      </c>
      <c r="J455" s="371">
        <f ca="1">IFERROR(__xludf.DUMMYFUNCTION("IMPORTRANGE(""https://docs.google.com/spreadsheets/d/1SX6NBoVAgQJ6U1MVXOaj8PK2l7WJ3RER9xtqwdhxkhw/edit?usp=sharing"",""ระยอง!J350"")"),7396)</f>
        <v>7396</v>
      </c>
      <c r="K455" s="372">
        <f ca="1">IF(I455&gt;0,J455*100/I455,0)</f>
        <v>100.01352265043948</v>
      </c>
      <c r="L455" s="373">
        <f ca="1">IFERROR(__xludf.DUMMYFUNCTION("IMPORTRANGE(""https://docs.google.com/spreadsheets/d/1SX6NBoVAgQJ6U1MVXOaj8PK2l7WJ3RER9xtqwdhxkhw/edit?usp=sharing"",""ระยอง!L350"")"),91719)</f>
        <v>91719</v>
      </c>
      <c r="M455" s="373"/>
      <c r="N455" s="373">
        <f ca="1">IFERROR(__xludf.DUMMYFUNCTION("IMPORTRANGE(""https://docs.google.com/spreadsheets/d/1SX6NBoVAgQJ6U1MVXOaj8PK2l7WJ3RER9xtqwdhxkhw/edit?usp=sharing"",""ระยอง!M350"")"),73078)</f>
        <v>73078</v>
      </c>
      <c r="O455" s="373">
        <f t="shared" ref="O455:O459" ca="1" si="116">+IF(L455&gt;0,N455*100/L455,0)</f>
        <v>79.675966811674783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IFERROR(__xludf.DUMMYFUNCTION("IMPORTRANGE(""https://docs.google.com/spreadsheets/d/1SX6NBoVAgQJ6U1MVXOaj8PK2l7WJ3RER9xtqwdhxkhw/edit?usp=sharing"",""ระยอง!L351"")"),0)</f>
        <v>0</v>
      </c>
      <c r="M456" s="164"/>
      <c r="N456" s="169">
        <f ca="1">IFERROR(__xludf.DUMMYFUNCTION("IMPORTRANGE(""https://docs.google.com/spreadsheets/d/1SX6NBoVAgQJ6U1MVXOaj8PK2l7WJ3RER9xtqwdhxkhw/edit?usp=sharing"",""ระยอง!M351"")"),0)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IFERROR(__xludf.DUMMYFUNCTION("IMPORTRANGE(""https://docs.google.com/spreadsheets/d/1SX6NBoVAgQJ6U1MVXOaj8PK2l7WJ3RER9xtqwdhxkhw/edit?usp=sharing"",""ระยอง!L352"")"),91719)</f>
        <v>91719</v>
      </c>
      <c r="M457" s="165"/>
      <c r="N457" s="169">
        <f ca="1">IFERROR(__xludf.DUMMYFUNCTION("IMPORTRANGE(""https://docs.google.com/spreadsheets/d/1SX6NBoVAgQJ6U1MVXOaj8PK2l7WJ3RER9xtqwdhxkhw/edit?usp=sharing"",""ระยอง!M352"")"),73078)</f>
        <v>73078</v>
      </c>
      <c r="O457" s="169">
        <f t="shared" ca="1" si="116"/>
        <v>79.675966811674783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IFERROR(__xludf.DUMMYFUNCTION("IMPORTRANGE(""https://docs.google.com/spreadsheets/d/1SX6NBoVAgQJ6U1MVXOaj8PK2l7WJ3RER9xtqwdhxkhw/edit?usp=sharing"",""ระยอง!L353"")"),0)</f>
        <v>0</v>
      </c>
      <c r="M458" s="169"/>
      <c r="N458" s="169">
        <f ca="1">IFERROR(__xludf.DUMMYFUNCTION("IMPORTRANGE(""https://docs.google.com/spreadsheets/d/1SX6NBoVAgQJ6U1MVXOaj8PK2l7WJ3RER9xtqwdhxkhw/edit?usp=sharing"",""ระยอง!M353"")"),0)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IFERROR(__xludf.DUMMYFUNCTION("IMPORTRANGE(""https://docs.google.com/spreadsheets/d/1SX6NBoVAgQJ6U1MVXOaj8PK2l7WJ3RER9xtqwdhxkhw/edit?usp=sharing"",""ระยอง!L354"")"),91719)</f>
        <v>91719</v>
      </c>
      <c r="M459" s="169"/>
      <c r="N459" s="169">
        <f ca="1">IFERROR(__xludf.DUMMYFUNCTION("IMPORTRANGE(""https://docs.google.com/spreadsheets/d/1SX6NBoVAgQJ6U1MVXOaj8PK2l7WJ3RER9xtqwdhxkhw/edit?usp=sharing"",""ระยอง!M354"")"),73078)</f>
        <v>73078</v>
      </c>
      <c r="O459" s="169">
        <f t="shared" ca="1" si="116"/>
        <v>79.675966811674783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IFERROR(__xludf.DUMMYFUNCTION("IMPORTRANGE(""https://docs.google.com/spreadsheets/d/1SX6NBoVAgQJ6U1MVXOaj8PK2l7WJ3RER9xtqwdhxkhw/edit?usp=sharing"",""ระยอง!M355"")"),0)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IFERROR(__xludf.DUMMYFUNCTION("IMPORTRANGE(""https://docs.google.com/spreadsheets/d/1SX6NBoVAgQJ6U1MVXOaj8PK2l7WJ3RER9xtqwdhxkhw/edit?usp=sharing"",""ระยอง!M356"")"),0)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IFERROR(__xludf.DUMMYFUNCTION("IMPORTRANGE(""https://docs.google.com/spreadsheets/d/1SX6NBoVAgQJ6U1MVXOaj8PK2l7WJ3RER9xtqwdhxkhw/edit?usp=sharing"",""ระยอง!M357"")"),0)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IFERROR(__xludf.DUMMYFUNCTION("IMPORTRANGE(""https://docs.google.com/spreadsheets/d/1SX6NBoVAgQJ6U1MVXOaj8PK2l7WJ3RER9xtqwdhxkhw/edit?usp=sharing"",""ระยอง!M358"")"),73078)</f>
        <v>73078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IFERROR(__xludf.DUMMYFUNCTION("IMPORTRANGE(""https://docs.google.com/spreadsheets/d/1SX6NBoVAgQJ6U1MVXOaj8PK2l7WJ3RER9xtqwdhxkhw/edit?usp=sharing"",""ระยอง!I359"")"),7395)</f>
        <v>7395</v>
      </c>
      <c r="J464" s="268">
        <f ca="1">IFERROR(__xludf.DUMMYFUNCTION("IMPORTRANGE(""https://docs.google.com/spreadsheets/d/1SX6NBoVAgQJ6U1MVXOaj8PK2l7WJ3RER9xtqwdhxkhw/edit?usp=sharing"",""ระยอง!J359"")"),7396)</f>
        <v>7396</v>
      </c>
      <c r="K464" s="269">
        <f t="shared" ref="K464:K515" ca="1" si="117">IF(I464&gt;0,J464*100/I464,0)</f>
        <v>100.01352265043948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IFERROR(__xludf.DUMMYFUNCTION("IMPORTRANGE(""https://docs.google.com/spreadsheets/d/1SX6NBoVAgQJ6U1MVXOaj8PK2l7WJ3RER9xtqwdhxkhw/edit?usp=sharing"",""ระยอง!I360"")"),7395)</f>
        <v>7395</v>
      </c>
      <c r="J465" s="420">
        <f ca="1">IFERROR(__xludf.DUMMYFUNCTION("IMPORTRANGE(""https://docs.google.com/spreadsheets/d/1SX6NBoVAgQJ6U1MVXOaj8PK2l7WJ3RER9xtqwdhxkhw/edit?usp=sharing"",""ระยอง!J360"")"),7396)</f>
        <v>7396</v>
      </c>
      <c r="K465" s="202">
        <f t="shared" ca="1" si="117"/>
        <v>100.01352265043948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IFERROR(__xludf.DUMMYFUNCTION("IMPORTRANGE(""https://docs.google.com/spreadsheets/d/1SX6NBoVAgQJ6U1MVXOaj8PK2l7WJ3RER9xtqwdhxkhw/edit?usp=sharing"",""ระยอง!I361"")"),645)</f>
        <v>645</v>
      </c>
      <c r="J466" s="420">
        <f ca="1">IFERROR(__xludf.DUMMYFUNCTION("IMPORTRANGE(""https://docs.google.com/spreadsheets/d/1SX6NBoVAgQJ6U1MVXOaj8PK2l7WJ3RER9xtqwdhxkhw/edit?usp=sharing"",""ระยอง!J361"")"),645)</f>
        <v>645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IFERROR(__xludf.DUMMYFUNCTION("IMPORTRANGE(""https://docs.google.com/spreadsheets/d/1SX6NBoVAgQJ6U1MVXOaj8PK2l7WJ3RER9xtqwdhxkhw/edit?usp=sharing"",""ระยอง!I362"")"),0)</f>
        <v>0</v>
      </c>
      <c r="J467" s="189">
        <f ca="1">IFERROR(__xludf.DUMMYFUNCTION("IMPORTRANGE(""https://docs.google.com/spreadsheets/d/1SX6NBoVAgQJ6U1MVXOaj8PK2l7WJ3RER9xtqwdhxkhw/edit?usp=sharing"",""ระยอง!J362"")"),5753)</f>
        <v>5753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IFERROR(__xludf.DUMMYFUNCTION("IMPORTRANGE(""https://docs.google.com/spreadsheets/d/1SX6NBoVAgQJ6U1MVXOaj8PK2l7WJ3RER9xtqwdhxkhw/edit?usp=sharing"",""ระยอง!I363"")"),0)</f>
        <v>0</v>
      </c>
      <c r="J468" s="189">
        <f ca="1">IFERROR(__xludf.DUMMYFUNCTION("IMPORTRANGE(""https://docs.google.com/spreadsheets/d/1SX6NBoVAgQJ6U1MVXOaj8PK2l7WJ3RER9xtqwdhxkhw/edit?usp=sharing"",""ระยอง!J363"")"),528)</f>
        <v>528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IFERROR(__xludf.DUMMYFUNCTION("IMPORTRANGE(""https://docs.google.com/spreadsheets/d/1SX6NBoVAgQJ6U1MVXOaj8PK2l7WJ3RER9xtqwdhxkhw/edit?usp=sharing"",""ระยอง!I364"")"),0)</f>
        <v>0</v>
      </c>
      <c r="J469" s="189">
        <f ca="1">IFERROR(__xludf.DUMMYFUNCTION("IMPORTRANGE(""https://docs.google.com/spreadsheets/d/1SX6NBoVAgQJ6U1MVXOaj8PK2l7WJ3RER9xtqwdhxkhw/edit?usp=sharing"",""ระยอง!J364"")"),1488)</f>
        <v>1488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IFERROR(__xludf.DUMMYFUNCTION("IMPORTRANGE(""https://docs.google.com/spreadsheets/d/1SX6NBoVAgQJ6U1MVXOaj8PK2l7WJ3RER9xtqwdhxkhw/edit?usp=sharing"",""ระยอง!I365"")"),0)</f>
        <v>0</v>
      </c>
      <c r="J470" s="189">
        <f ca="1">IFERROR(__xludf.DUMMYFUNCTION("IMPORTRANGE(""https://docs.google.com/spreadsheets/d/1SX6NBoVAgQJ6U1MVXOaj8PK2l7WJ3RER9xtqwdhxkhw/edit?usp=sharing"",""ระยอง!J365"")"),103)</f>
        <v>103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IFERROR(__xludf.DUMMYFUNCTION("IMPORTRANGE(""https://docs.google.com/spreadsheets/d/1SX6NBoVAgQJ6U1MVXOaj8PK2l7WJ3RER9xtqwdhxkhw/edit?usp=sharing"",""ระยอง!I366"")"),0)</f>
        <v>0</v>
      </c>
      <c r="J471" s="189">
        <f ca="1">IFERROR(__xludf.DUMMYFUNCTION("IMPORTRANGE(""https://docs.google.com/spreadsheets/d/1SX6NBoVAgQJ6U1MVXOaj8PK2l7WJ3RER9xtqwdhxkhw/edit?usp=sharing"",""ระยอง!J366"")"),155)</f>
        <v>155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IFERROR(__xludf.DUMMYFUNCTION("IMPORTRANGE(""https://docs.google.com/spreadsheets/d/1SX6NBoVAgQJ6U1MVXOaj8PK2l7WJ3RER9xtqwdhxkhw/edit?usp=sharing"",""ระยอง!I367"")"),0)</f>
        <v>0</v>
      </c>
      <c r="J472" s="189">
        <f ca="1">IFERROR(__xludf.DUMMYFUNCTION("IMPORTRANGE(""https://docs.google.com/spreadsheets/d/1SX6NBoVAgQJ6U1MVXOaj8PK2l7WJ3RER9xtqwdhxkhw/edit?usp=sharing"",""ระยอง!J367"")"),14)</f>
        <v>14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IFERROR(__xludf.DUMMYFUNCTION("IMPORTRANGE(""https://docs.google.com/spreadsheets/d/1SX6NBoVAgQJ6U1MVXOaj8PK2l7WJ3RER9xtqwdhxkhw/edit?usp=sharing"",""ระยอง!I368"")"),7395)</f>
        <v>7395</v>
      </c>
      <c r="J473" s="420">
        <f ca="1">IFERROR(__xludf.DUMMYFUNCTION("IMPORTRANGE(""https://docs.google.com/spreadsheets/d/1SX6NBoVAgQJ6U1MVXOaj8PK2l7WJ3RER9xtqwdhxkhw/edit?usp=sharing"",""ระยอง!J368"")"),7396)</f>
        <v>7396</v>
      </c>
      <c r="K473" s="202">
        <f t="shared" ca="1" si="117"/>
        <v>100.01352265043948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IFERROR(__xludf.DUMMYFUNCTION("IMPORTRANGE(""https://docs.google.com/spreadsheets/d/1SX6NBoVAgQJ6U1MVXOaj8PK2l7WJ3RER9xtqwdhxkhw/edit?usp=sharing"",""ระยอง!I369"")"),645)</f>
        <v>645</v>
      </c>
      <c r="J474" s="420">
        <f ca="1">IFERROR(__xludf.DUMMYFUNCTION("IMPORTRANGE(""https://docs.google.com/spreadsheets/d/1SX6NBoVAgQJ6U1MVXOaj8PK2l7WJ3RER9xtqwdhxkhw/edit?usp=sharing"",""ระยอง!J369"")"),645)</f>
        <v>645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IFERROR(__xludf.DUMMYFUNCTION("IMPORTRANGE(""https://docs.google.com/spreadsheets/d/1SX6NBoVAgQJ6U1MVXOaj8PK2l7WJ3RER9xtqwdhxkhw/edit?usp=sharing"",""ระยอง!I370"")"),0)</f>
        <v>0</v>
      </c>
      <c r="J475" s="189">
        <f ca="1">IFERROR(__xludf.DUMMYFUNCTION("IMPORTRANGE(""https://docs.google.com/spreadsheets/d/1SX6NBoVAgQJ6U1MVXOaj8PK2l7WJ3RER9xtqwdhxkhw/edit?usp=sharing"",""ระยอง!J370"")"),6092)</f>
        <v>6092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IFERROR(__xludf.DUMMYFUNCTION("IMPORTRANGE(""https://docs.google.com/spreadsheets/d/1SX6NBoVAgQJ6U1MVXOaj8PK2l7WJ3RER9xtqwdhxkhw/edit?usp=sharing"",""ระยอง!I371"")"),0)</f>
        <v>0</v>
      </c>
      <c r="J476" s="189">
        <f ca="1">IFERROR(__xludf.DUMMYFUNCTION("IMPORTRANGE(""https://docs.google.com/spreadsheets/d/1SX6NBoVAgQJ6U1MVXOaj8PK2l7WJ3RER9xtqwdhxkhw/edit?usp=sharing"",""ระยอง!J371"")"),551)</f>
        <v>551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IFERROR(__xludf.DUMMYFUNCTION("IMPORTRANGE(""https://docs.google.com/spreadsheets/d/1SX6NBoVAgQJ6U1MVXOaj8PK2l7WJ3RER9xtqwdhxkhw/edit?usp=sharing"",""ระยอง!I372"")"),0)</f>
        <v>0</v>
      </c>
      <c r="J477" s="189">
        <f ca="1">IFERROR(__xludf.DUMMYFUNCTION("IMPORTRANGE(""https://docs.google.com/spreadsheets/d/1SX6NBoVAgQJ6U1MVXOaj8PK2l7WJ3RER9xtqwdhxkhw/edit?usp=sharing"",""ระยอง!J372"")"),1149)</f>
        <v>1149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IFERROR(__xludf.DUMMYFUNCTION("IMPORTRANGE(""https://docs.google.com/spreadsheets/d/1SX6NBoVAgQJ6U1MVXOaj8PK2l7WJ3RER9xtqwdhxkhw/edit?usp=sharing"",""ระยอง!I373"")"),0)</f>
        <v>0</v>
      </c>
      <c r="J478" s="189">
        <f ca="1">IFERROR(__xludf.DUMMYFUNCTION("IMPORTRANGE(""https://docs.google.com/spreadsheets/d/1SX6NBoVAgQJ6U1MVXOaj8PK2l7WJ3RER9xtqwdhxkhw/edit?usp=sharing"",""ระยอง!J373"")"),80)</f>
        <v>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IFERROR(__xludf.DUMMYFUNCTION("IMPORTRANGE(""https://docs.google.com/spreadsheets/d/1SX6NBoVAgQJ6U1MVXOaj8PK2l7WJ3RER9xtqwdhxkhw/edit?usp=sharing"",""ระยอง!I374"")"),0)</f>
        <v>0</v>
      </c>
      <c r="J479" s="189">
        <f ca="1">IFERROR(__xludf.DUMMYFUNCTION("IMPORTRANGE(""https://docs.google.com/spreadsheets/d/1SX6NBoVAgQJ6U1MVXOaj8PK2l7WJ3RER9xtqwdhxkhw/edit?usp=sharing"",""ระยอง!J374"")"),155)</f>
        <v>155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IFERROR(__xludf.DUMMYFUNCTION("IMPORTRANGE(""https://docs.google.com/spreadsheets/d/1SX6NBoVAgQJ6U1MVXOaj8PK2l7WJ3RER9xtqwdhxkhw/edit?usp=sharing"",""ระยอง!I375"")"),0)</f>
        <v>0</v>
      </c>
      <c r="J480" s="189">
        <f ca="1">IFERROR(__xludf.DUMMYFUNCTION("IMPORTRANGE(""https://docs.google.com/spreadsheets/d/1SX6NBoVAgQJ6U1MVXOaj8PK2l7WJ3RER9xtqwdhxkhw/edit?usp=sharing"",""ระยอง!J375"")"),14)</f>
        <v>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IFERROR(__xludf.DUMMYFUNCTION("IMPORTRANGE(""https://docs.google.com/spreadsheets/d/1SX6NBoVAgQJ6U1MVXOaj8PK2l7WJ3RER9xtqwdhxkhw/edit?usp=sharing"",""ระยอง!I376"")"),7395)</f>
        <v>7395</v>
      </c>
      <c r="J481" s="420">
        <f ca="1">IFERROR(__xludf.DUMMYFUNCTION("IMPORTRANGE(""https://docs.google.com/spreadsheets/d/1SX6NBoVAgQJ6U1MVXOaj8PK2l7WJ3RER9xtqwdhxkhw/edit?usp=sharing"",""ระยอง!J376"")"),7396)</f>
        <v>7396</v>
      </c>
      <c r="K481" s="202">
        <f t="shared" ca="1" si="117"/>
        <v>100.01352265043948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IFERROR(__xludf.DUMMYFUNCTION("IMPORTRANGE(""https://docs.google.com/spreadsheets/d/1SX6NBoVAgQJ6U1MVXOaj8PK2l7WJ3RER9xtqwdhxkhw/edit?usp=sharing"",""ระยอง!I377"")"),645)</f>
        <v>645</v>
      </c>
      <c r="J482" s="420">
        <f ca="1">IFERROR(__xludf.DUMMYFUNCTION("IMPORTRANGE(""https://docs.google.com/spreadsheets/d/1SX6NBoVAgQJ6U1MVXOaj8PK2l7WJ3RER9xtqwdhxkhw/edit?usp=sharing"",""ระยอง!J377"")"),645)</f>
        <v>645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IFERROR(__xludf.DUMMYFUNCTION("IMPORTRANGE(""https://docs.google.com/spreadsheets/d/1SX6NBoVAgQJ6U1MVXOaj8PK2l7WJ3RER9xtqwdhxkhw/edit?usp=sharing"",""ระยอง!I378"")"),0)</f>
        <v>0</v>
      </c>
      <c r="J483" s="189">
        <f ca="1">IFERROR(__xludf.DUMMYFUNCTION("IMPORTRANGE(""https://docs.google.com/spreadsheets/d/1SX6NBoVAgQJ6U1MVXOaj8PK2l7WJ3RER9xtqwdhxkhw/edit?usp=sharing"",""ระยอง!J378"")"),6092)</f>
        <v>6092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IFERROR(__xludf.DUMMYFUNCTION("IMPORTRANGE(""https://docs.google.com/spreadsheets/d/1SX6NBoVAgQJ6U1MVXOaj8PK2l7WJ3RER9xtqwdhxkhw/edit?usp=sharing"",""ระยอง!I379"")"),0)</f>
        <v>0</v>
      </c>
      <c r="J484" s="189">
        <f ca="1">IFERROR(__xludf.DUMMYFUNCTION("IMPORTRANGE(""https://docs.google.com/spreadsheets/d/1SX6NBoVAgQJ6U1MVXOaj8PK2l7WJ3RER9xtqwdhxkhw/edit?usp=sharing"",""ระยอง!J379"")"),551)</f>
        <v>551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IFERROR(__xludf.DUMMYFUNCTION("IMPORTRANGE(""https://docs.google.com/spreadsheets/d/1SX6NBoVAgQJ6U1MVXOaj8PK2l7WJ3RER9xtqwdhxkhw/edit?usp=sharing"",""ระยอง!I380"")"),0)</f>
        <v>0</v>
      </c>
      <c r="J485" s="189">
        <f ca="1">IFERROR(__xludf.DUMMYFUNCTION("IMPORTRANGE(""https://docs.google.com/spreadsheets/d/1SX6NBoVAgQJ6U1MVXOaj8PK2l7WJ3RER9xtqwdhxkhw/edit?usp=sharing"",""ระยอง!J380"")"),1149)</f>
        <v>1149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IFERROR(__xludf.DUMMYFUNCTION("IMPORTRANGE(""https://docs.google.com/spreadsheets/d/1SX6NBoVAgQJ6U1MVXOaj8PK2l7WJ3RER9xtqwdhxkhw/edit?usp=sharing"",""ระยอง!I381"")"),0)</f>
        <v>0</v>
      </c>
      <c r="J486" s="189">
        <f ca="1">IFERROR(__xludf.DUMMYFUNCTION("IMPORTRANGE(""https://docs.google.com/spreadsheets/d/1SX6NBoVAgQJ6U1MVXOaj8PK2l7WJ3RER9xtqwdhxkhw/edit?usp=sharing"",""ระยอง!J381"")"),80)</f>
        <v>80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IFERROR(__xludf.DUMMYFUNCTION("IMPORTRANGE(""https://docs.google.com/spreadsheets/d/1SX6NBoVAgQJ6U1MVXOaj8PK2l7WJ3RER9xtqwdhxkhw/edit?usp=sharing"",""ระยอง!I382"")"),0)</f>
        <v>0</v>
      </c>
      <c r="J487" s="420">
        <f ca="1">IFERROR(__xludf.DUMMYFUNCTION("IMPORTRANGE(""https://docs.google.com/spreadsheets/d/1SX6NBoVAgQJ6U1MVXOaj8PK2l7WJ3RER9xtqwdhxkhw/edit?usp=sharing"",""ระยอง!J382"")"),155)</f>
        <v>155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IFERROR(__xludf.DUMMYFUNCTION("IMPORTRANGE(""https://docs.google.com/spreadsheets/d/1SX6NBoVAgQJ6U1MVXOaj8PK2l7WJ3RER9xtqwdhxkhw/edit?usp=sharing"",""ระยอง!I383"")"),0)</f>
        <v>0</v>
      </c>
      <c r="J488" s="420">
        <f ca="1">IFERROR(__xludf.DUMMYFUNCTION("IMPORTRANGE(""https://docs.google.com/spreadsheets/d/1SX6NBoVAgQJ6U1MVXOaj8PK2l7WJ3RER9xtqwdhxkhw/edit?usp=sharing"",""ระยอง!J383"")"),14)</f>
        <v>14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IFERROR(__xludf.DUMMYFUNCTION("IMPORTRANGE(""https://docs.google.com/spreadsheets/d/1SX6NBoVAgQJ6U1MVXOaj8PK2l7WJ3RER9xtqwdhxkhw/edit?usp=sharing"",""ระยอง!I384"")"),0)</f>
        <v>0</v>
      </c>
      <c r="J489" s="189">
        <f ca="1">IFERROR(__xludf.DUMMYFUNCTION("IMPORTRANGE(""https://docs.google.com/spreadsheets/d/1SX6NBoVAgQJ6U1MVXOaj8PK2l7WJ3RER9xtqwdhxkhw/edit?usp=sharing"",""ระยอง!J384"")"),155)</f>
        <v>155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IFERROR(__xludf.DUMMYFUNCTION("IMPORTRANGE(""https://docs.google.com/spreadsheets/d/1SX6NBoVAgQJ6U1MVXOaj8PK2l7WJ3RER9xtqwdhxkhw/edit?usp=sharing"",""ระยอง!I385"")"),0)</f>
        <v>0</v>
      </c>
      <c r="J490" s="189">
        <f ca="1">IFERROR(__xludf.DUMMYFUNCTION("IMPORTRANGE(""https://docs.google.com/spreadsheets/d/1SX6NBoVAgQJ6U1MVXOaj8PK2l7WJ3RER9xtqwdhxkhw/edit?usp=sharing"",""ระยอง!J385"")"),14)</f>
        <v>14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IFERROR(__xludf.DUMMYFUNCTION("IMPORTRANGE(""https://docs.google.com/spreadsheets/d/1SX6NBoVAgQJ6U1MVXOaj8PK2l7WJ3RER9xtqwdhxkhw/edit?usp=sharing"",""ระยอง!I386"")"),0)</f>
        <v>0</v>
      </c>
      <c r="J491" s="189">
        <f ca="1">IFERROR(__xludf.DUMMYFUNCTION("IMPORTRANGE(""https://docs.google.com/spreadsheets/d/1SX6NBoVAgQJ6U1MVXOaj8PK2l7WJ3RER9xtqwdhxkhw/edit?usp=sharing"",""ระยอง!J386"")"),0)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IFERROR(__xludf.DUMMYFUNCTION("IMPORTRANGE(""https://docs.google.com/spreadsheets/d/1SX6NBoVAgQJ6U1MVXOaj8PK2l7WJ3RER9xtqwdhxkhw/edit?usp=sharing"",""ระยอง!I387"")"),0)</f>
        <v>0</v>
      </c>
      <c r="J492" s="189">
        <f ca="1">IFERROR(__xludf.DUMMYFUNCTION("IMPORTRANGE(""https://docs.google.com/spreadsheets/d/1SX6NBoVAgQJ6U1MVXOaj8PK2l7WJ3RER9xtqwdhxkhw/edit?usp=sharing"",""ระยอง!J387"")"),0)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IFERROR(__xludf.DUMMYFUNCTION("IMPORTRANGE(""https://docs.google.com/spreadsheets/d/1SX6NBoVAgQJ6U1MVXOaj8PK2l7WJ3RER9xtqwdhxkhw/edit?usp=sharing"",""ระยอง!I388"")"),0)</f>
        <v>0</v>
      </c>
      <c r="J493" s="189">
        <f ca="1">IFERROR(__xludf.DUMMYFUNCTION("IMPORTRANGE(""https://docs.google.com/spreadsheets/d/1SX6NBoVAgQJ6U1MVXOaj8PK2l7WJ3RER9xtqwdhxkhw/edit?usp=sharing"",""ระยอง!J388"")"),0)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IFERROR(__xludf.DUMMYFUNCTION("IMPORTRANGE(""https://docs.google.com/spreadsheets/d/1SX6NBoVAgQJ6U1MVXOaj8PK2l7WJ3RER9xtqwdhxkhw/edit?usp=sharing"",""ระยอง!I389"")"),0)</f>
        <v>0</v>
      </c>
      <c r="J494" s="436">
        <f ca="1">IFERROR(__xludf.DUMMYFUNCTION("IMPORTRANGE(""https://docs.google.com/spreadsheets/d/1SX6NBoVAgQJ6U1MVXOaj8PK2l7WJ3RER9xtqwdhxkhw/edit?usp=sharing"",""ระยอง!J389"")"),0)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IFERROR(__xludf.DUMMYFUNCTION("IMPORTRANGE(""https://docs.google.com/spreadsheets/d/1SX6NBoVAgQJ6U1MVXOaj8PK2l7WJ3RER9xtqwdhxkhw/edit?usp=sharing"",""ระยอง!I390"")"),0)</f>
        <v>0</v>
      </c>
      <c r="J495" s="436">
        <f ca="1">IFERROR(__xludf.DUMMYFUNCTION("IMPORTRANGE(""https://docs.google.com/spreadsheets/d/1SX6NBoVAgQJ6U1MVXOaj8PK2l7WJ3RER9xtqwdhxkhw/edit?usp=sharing"",""ระยอง!J390"")"),0)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IFERROR(__xludf.DUMMYFUNCTION("IMPORTRANGE(""https://docs.google.com/spreadsheets/d/1SX6NBoVAgQJ6U1MVXOaj8PK2l7WJ3RER9xtqwdhxkhw/edit?usp=sharing"",""ระยอง!I391"")"),0)</f>
        <v>0</v>
      </c>
      <c r="J496" s="436">
        <f ca="1">IFERROR(__xludf.DUMMYFUNCTION("IMPORTRANGE(""https://docs.google.com/spreadsheets/d/1SX6NBoVAgQJ6U1MVXOaj8PK2l7WJ3RER9xtqwdhxkhw/edit?usp=sharing"",""ระยอง!J391"")"),0)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IFERROR(__xludf.DUMMYFUNCTION("IMPORTRANGE(""https://docs.google.com/spreadsheets/d/1SX6NBoVAgQJ6U1MVXOaj8PK2l7WJ3RER9xtqwdhxkhw/edit?usp=sharing"",""ระยอง!I392"")"),9)</f>
        <v>9</v>
      </c>
      <c r="J497" s="443">
        <f ca="1">IFERROR(__xludf.DUMMYFUNCTION("IMPORTRANGE(""https://docs.google.com/spreadsheets/d/1SX6NBoVAgQJ6U1MVXOaj8PK2l7WJ3RER9xtqwdhxkhw/edit?usp=sharing"",""ระยอง!J392"")"),9.255)</f>
        <v>9.2550000000000008</v>
      </c>
      <c r="K497" s="444">
        <f t="shared" ca="1" si="117"/>
        <v>102.83333333333334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IFERROR(__xludf.DUMMYFUNCTION("IMPORTRANGE(""https://docs.google.com/spreadsheets/d/1SX6NBoVAgQJ6U1MVXOaj8PK2l7WJ3RER9xtqwdhxkhw/edit?usp=sharing"",""ระยอง!I393"")"),9)</f>
        <v>9</v>
      </c>
      <c r="J498" s="420">
        <f ca="1">IFERROR(__xludf.DUMMYFUNCTION("IMPORTRANGE(""https://docs.google.com/spreadsheets/d/1SX6NBoVAgQJ6U1MVXOaj8PK2l7WJ3RER9xtqwdhxkhw/edit?usp=sharing"",""ระยอง!J393"")"),9.255)</f>
        <v>9.2550000000000008</v>
      </c>
      <c r="K498" s="163">
        <f t="shared" ca="1" si="117"/>
        <v>102.83333333333334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IFERROR(__xludf.DUMMYFUNCTION("IMPORTRANGE(""https://docs.google.com/spreadsheets/d/1SX6NBoVAgQJ6U1MVXOaj8PK2l7WJ3RER9xtqwdhxkhw/edit?usp=sharing"",""ระยอง!I394"")"),4)</f>
        <v>4</v>
      </c>
      <c r="J499" s="420">
        <f ca="1">IFERROR(__xludf.DUMMYFUNCTION("IMPORTRANGE(""https://docs.google.com/spreadsheets/d/1SX6NBoVAgQJ6U1MVXOaj8PK2l7WJ3RER9xtqwdhxkhw/edit?usp=sharing"",""ระยอง!J394"")"),4)</f>
        <v>4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IFERROR(__xludf.DUMMYFUNCTION("IMPORTRANGE(""https://docs.google.com/spreadsheets/d/1SX6NBoVAgQJ6U1MVXOaj8PK2l7WJ3RER9xtqwdhxkhw/edit?usp=sharing"",""ระยอง!I395"")"),0)</f>
        <v>0</v>
      </c>
      <c r="J500" s="162">
        <f ca="1">IFERROR(__xludf.DUMMYFUNCTION("IMPORTRANGE(""https://docs.google.com/spreadsheets/d/1SX6NBoVAgQJ6U1MVXOaj8PK2l7WJ3RER9xtqwdhxkhw/edit?usp=sharing"",""ระยอง!J395"")"),9)</f>
        <v>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IFERROR(__xludf.DUMMYFUNCTION("IMPORTRANGE(""https://docs.google.com/spreadsheets/d/1SX6NBoVAgQJ6U1MVXOaj8PK2l7WJ3RER9xtqwdhxkhw/edit?usp=sharing"",""ระยอง!I396"")"),0)</f>
        <v>0</v>
      </c>
      <c r="J501" s="162">
        <f ca="1">IFERROR(__xludf.DUMMYFUNCTION("IMPORTRANGE(""https://docs.google.com/spreadsheets/d/1SX6NBoVAgQJ6U1MVXOaj8PK2l7WJ3RER9xtqwdhxkhw/edit?usp=sharing"",""ระยอง!J396"")"),3)</f>
        <v>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IFERROR(__xludf.DUMMYFUNCTION("IMPORTRANGE(""https://docs.google.com/spreadsheets/d/1SX6NBoVAgQJ6U1MVXOaj8PK2l7WJ3RER9xtqwdhxkhw/edit?usp=sharing"",""ระยอง!I397"")"),0)</f>
        <v>0</v>
      </c>
      <c r="J502" s="189">
        <f ca="1">IFERROR(__xludf.DUMMYFUNCTION("IMPORTRANGE(""https://docs.google.com/spreadsheets/d/1SX6NBoVAgQJ6U1MVXOaj8PK2l7WJ3RER9xtqwdhxkhw/edit?usp=sharing"",""ระยอง!J397"")"),3)</f>
        <v>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IFERROR(__xludf.DUMMYFUNCTION("IMPORTRANGE(""https://docs.google.com/spreadsheets/d/1SX6NBoVAgQJ6U1MVXOaj8PK2l7WJ3RER9xtqwdhxkhw/edit?usp=sharing"",""ระยอง!I398"")"),0)</f>
        <v>0</v>
      </c>
      <c r="J503" s="198">
        <f ca="1">IFERROR(__xludf.DUMMYFUNCTION("IMPORTRANGE(""https://docs.google.com/spreadsheets/d/1SX6NBoVAgQJ6U1MVXOaj8PK2l7WJ3RER9xtqwdhxkhw/edit?usp=sharing"",""ระยอง!J398"")"),1)</f>
        <v>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IFERROR(__xludf.DUMMYFUNCTION("IMPORTRANGE(""https://docs.google.com/spreadsheets/d/1SX6NBoVAgQJ6U1MVXOaj8PK2l7WJ3RER9xtqwdhxkhw/edit?usp=sharing"",""ระยอง!I399"")"),0)</f>
        <v>0</v>
      </c>
      <c r="J504" s="189">
        <f ca="1">IFERROR(__xludf.DUMMYFUNCTION("IMPORTRANGE(""https://docs.google.com/spreadsheets/d/1SX6NBoVAgQJ6U1MVXOaj8PK2l7WJ3RER9xtqwdhxkhw/edit?usp=sharing"",""ระยอง!J399"")"),6)</f>
        <v>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IFERROR(__xludf.DUMMYFUNCTION("IMPORTRANGE(""https://docs.google.com/spreadsheets/d/1SX6NBoVAgQJ6U1MVXOaj8PK2l7WJ3RER9xtqwdhxkhw/edit?usp=sharing"",""ระยอง!I400"")"),0)</f>
        <v>0</v>
      </c>
      <c r="J505" s="198">
        <f ca="1">IFERROR(__xludf.DUMMYFUNCTION("IMPORTRANGE(""https://docs.google.com/spreadsheets/d/1SX6NBoVAgQJ6U1MVXOaj8PK2l7WJ3RER9xtqwdhxkhw/edit?usp=sharing"",""ระยอง!J400"")"),2)</f>
        <v>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IFERROR(__xludf.DUMMYFUNCTION("IMPORTRANGE(""https://docs.google.com/spreadsheets/d/1SX6NBoVAgQJ6U1MVXOaj8PK2l7WJ3RER9xtqwdhxkhw/edit?usp=sharing"",""ระยอง!I401"")"),0)</f>
        <v>0</v>
      </c>
      <c r="J506" s="189">
        <f ca="1">IFERROR(__xludf.DUMMYFUNCTION("IMPORTRANGE(""https://docs.google.com/spreadsheets/d/1SX6NBoVAgQJ6U1MVXOaj8PK2l7WJ3RER9xtqwdhxkhw/edit?usp=sharing"",""ระยอง!J401"")"),0)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IFERROR(__xludf.DUMMYFUNCTION("IMPORTRANGE(""https://docs.google.com/spreadsheets/d/1SX6NBoVAgQJ6U1MVXOaj8PK2l7WJ3RER9xtqwdhxkhw/edit?usp=sharing"",""ระยอง!I402"")"),0)</f>
        <v>0</v>
      </c>
      <c r="J507" s="198">
        <f ca="1">IFERROR(__xludf.DUMMYFUNCTION("IMPORTRANGE(""https://docs.google.com/spreadsheets/d/1SX6NBoVAgQJ6U1MVXOaj8PK2l7WJ3RER9xtqwdhxkhw/edit?usp=sharing"",""ระยอง!J402"")"),0)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IFERROR(__xludf.DUMMYFUNCTION("IMPORTRANGE(""https://docs.google.com/spreadsheets/d/1SX6NBoVAgQJ6U1MVXOaj8PK2l7WJ3RER9xtqwdhxkhw/edit?usp=sharing"",""ระยอง!I403"")"),0)</f>
        <v>0</v>
      </c>
      <c r="J508" s="162">
        <f ca="1">IFERROR(__xludf.DUMMYFUNCTION("IMPORTRANGE(""https://docs.google.com/spreadsheets/d/1SX6NBoVAgQJ6U1MVXOaj8PK2l7WJ3RER9xtqwdhxkhw/edit?usp=sharing"",""ระยอง!J403"")"),0.255)</f>
        <v>0.255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IFERROR(__xludf.DUMMYFUNCTION("IMPORTRANGE(""https://docs.google.com/spreadsheets/d/1SX6NBoVAgQJ6U1MVXOaj8PK2l7WJ3RER9xtqwdhxkhw/edit?usp=sharing"",""ระยอง!I404"")"),0)</f>
        <v>0</v>
      </c>
      <c r="J509" s="162">
        <f ca="1">IFERROR(__xludf.DUMMYFUNCTION("IMPORTRANGE(""https://docs.google.com/spreadsheets/d/1SX6NBoVAgQJ6U1MVXOaj8PK2l7WJ3RER9xtqwdhxkhw/edit?usp=sharing"",""ระยอง!J404"")"),1)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IFERROR(__xludf.DUMMYFUNCTION("IMPORTRANGE(""https://docs.google.com/spreadsheets/d/1SX6NBoVAgQJ6U1MVXOaj8PK2l7WJ3RER9xtqwdhxkhw/edit?usp=sharing"",""ระยอง!I405"")"),0)</f>
        <v>0</v>
      </c>
      <c r="J510" s="198">
        <f ca="1">IFERROR(__xludf.DUMMYFUNCTION("IMPORTRANGE(""https://docs.google.com/spreadsheets/d/1SX6NBoVAgQJ6U1MVXOaj8PK2l7WJ3RER9xtqwdhxkhw/edit?usp=sharing"",""ระยอง!J405"")"),0.255)</f>
        <v>0.255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IFERROR(__xludf.DUMMYFUNCTION("IMPORTRANGE(""https://docs.google.com/spreadsheets/d/1SX6NBoVAgQJ6U1MVXOaj8PK2l7WJ3RER9xtqwdhxkhw/edit?usp=sharing"",""ระยอง!I406"")"),0)</f>
        <v>0</v>
      </c>
      <c r="J511" s="198">
        <f ca="1">IFERROR(__xludf.DUMMYFUNCTION("IMPORTRANGE(""https://docs.google.com/spreadsheets/d/1SX6NBoVAgQJ6U1MVXOaj8PK2l7WJ3RER9xtqwdhxkhw/edit?usp=sharing"",""ระยอง!J406"")"),1)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IFERROR(__xludf.DUMMYFUNCTION("IMPORTRANGE(""https://docs.google.com/spreadsheets/d/1SX6NBoVAgQJ6U1MVXOaj8PK2l7WJ3RER9xtqwdhxkhw/edit?usp=sharing"",""ระยอง!I407"")"),0)</f>
        <v>0</v>
      </c>
      <c r="J512" s="198">
        <f ca="1">IFERROR(__xludf.DUMMYFUNCTION("IMPORTRANGE(""https://docs.google.com/spreadsheets/d/1SX6NBoVAgQJ6U1MVXOaj8PK2l7WJ3RER9xtqwdhxkhw/edit?usp=sharing"",""ระยอง!J407"")"),0)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IFERROR(__xludf.DUMMYFUNCTION("IMPORTRANGE(""https://docs.google.com/spreadsheets/d/1SX6NBoVAgQJ6U1MVXOaj8PK2l7WJ3RER9xtqwdhxkhw/edit?usp=sharing"",""ระยอง!I408"")"),0)</f>
        <v>0</v>
      </c>
      <c r="J513" s="198">
        <f ca="1">IFERROR(__xludf.DUMMYFUNCTION("IMPORTRANGE(""https://docs.google.com/spreadsheets/d/1SX6NBoVAgQJ6U1MVXOaj8PK2l7WJ3RER9xtqwdhxkhw/edit?usp=sharing"",""ระยอง!J408"")"),0)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IFERROR(__xludf.DUMMYFUNCTION("IMPORTRANGE(""https://docs.google.com/spreadsheets/d/1SX6NBoVAgQJ6U1MVXOaj8PK2l7WJ3RER9xtqwdhxkhw/edit?usp=sharing"",""ระยอง!I409"")"),0)</f>
        <v>0</v>
      </c>
      <c r="J514" s="198">
        <f ca="1">IFERROR(__xludf.DUMMYFUNCTION("IMPORTRANGE(""https://docs.google.com/spreadsheets/d/1SX6NBoVAgQJ6U1MVXOaj8PK2l7WJ3RER9xtqwdhxkhw/edit?usp=sharing"",""ระยอง!J409"")"),0)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IFERROR(__xludf.DUMMYFUNCTION("IMPORTRANGE(""https://docs.google.com/spreadsheets/d/1SX6NBoVAgQJ6U1MVXOaj8PK2l7WJ3RER9xtqwdhxkhw/edit?usp=sharing"",""ระยอง!I410"")"),0)</f>
        <v>0</v>
      </c>
      <c r="J515" s="198">
        <f ca="1">IFERROR(__xludf.DUMMYFUNCTION("IMPORTRANGE(""https://docs.google.com/spreadsheets/d/1SX6NBoVAgQJ6U1MVXOaj8PK2l7WJ3RER9xtqwdhxkhw/edit?usp=sharing"",""ระยอง!J410"")"),0)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IFERROR(__xludf.DUMMYFUNCTION("IMPORTRANGE(""https://docs.google.com/spreadsheets/d/1SX6NBoVAgQJ6U1MVXOaj8PK2l7WJ3RER9xtqwdhxkhw/edit?usp=sharing"",""ระยอง!I411"")"),0)</f>
        <v>0</v>
      </c>
      <c r="J516" s="268">
        <f ca="1">IFERROR(__xludf.DUMMYFUNCTION("IMPORTRANGE(""https://docs.google.com/spreadsheets/d/1SX6NBoVAgQJ6U1MVXOaj8PK2l7WJ3RER9xtqwdhxkhw/edit?usp=sharing"",""ระยอง!J411"")"),0)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IFERROR(__xludf.DUMMYFUNCTION("IMPORTRANGE(""https://docs.google.com/spreadsheets/d/1SX6NBoVAgQJ6U1MVXOaj8PK2l7WJ3RER9xtqwdhxkhw/edit?usp=sharing"",""ระยอง!I412"")"),0)</f>
        <v>0</v>
      </c>
      <c r="J517" s="285">
        <f ca="1">IFERROR(__xludf.DUMMYFUNCTION("IMPORTRANGE(""https://docs.google.com/spreadsheets/d/1SX6NBoVAgQJ6U1MVXOaj8PK2l7WJ3RER9xtqwdhxkhw/edit?usp=sharing"",""ระยอง!J412"")"),0)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IFERROR(__xludf.DUMMYFUNCTION("IMPORTRANGE(""https://docs.google.com/spreadsheets/d/1SX6NBoVAgQJ6U1MVXOaj8PK2l7WJ3RER9xtqwdhxkhw/edit?usp=sharing"",""ระยอง!I413"")"),0)</f>
        <v>0</v>
      </c>
      <c r="J518" s="285">
        <f ca="1">IFERROR(__xludf.DUMMYFUNCTION("IMPORTRANGE(""https://docs.google.com/spreadsheets/d/1SX6NBoVAgQJ6U1MVXOaj8PK2l7WJ3RER9xtqwdhxkhw/edit?usp=sharing"",""ระยอง!J413"")"),0)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IFERROR(__xludf.DUMMYFUNCTION("IMPORTRANGE(""https://docs.google.com/spreadsheets/d/1SX6NBoVAgQJ6U1MVXOaj8PK2l7WJ3RER9xtqwdhxkhw/edit?usp=sharing"",""ระยอง!I414"")"),0)</f>
        <v>0</v>
      </c>
      <c r="J519" s="188">
        <f ca="1">IFERROR(__xludf.DUMMYFUNCTION("IMPORTRANGE(""https://docs.google.com/spreadsheets/d/1SX6NBoVAgQJ6U1MVXOaj8PK2l7WJ3RER9xtqwdhxkhw/edit?usp=sharing"",""ระยอง!J414"")"),0)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IFERROR(__xludf.DUMMYFUNCTION("IMPORTRANGE(""https://docs.google.com/spreadsheets/d/1SX6NBoVAgQJ6U1MVXOaj8PK2l7WJ3RER9xtqwdhxkhw/edit?usp=sharing"",""ระยอง!I415"")"),0)</f>
        <v>0</v>
      </c>
      <c r="J520" s="188">
        <f ca="1">IFERROR(__xludf.DUMMYFUNCTION("IMPORTRANGE(""https://docs.google.com/spreadsheets/d/1SX6NBoVAgQJ6U1MVXOaj8PK2l7WJ3RER9xtqwdhxkhw/edit?usp=sharing"",""ระยอง!J415"")"),0)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IFERROR(__xludf.DUMMYFUNCTION("IMPORTRANGE(""https://docs.google.com/spreadsheets/d/1SX6NBoVAgQJ6U1MVXOaj8PK2l7WJ3RER9xtqwdhxkhw/edit?usp=sharing"",""ระยอง!I416"")"),0)</f>
        <v>0</v>
      </c>
      <c r="J521" s="188">
        <f ca="1">IFERROR(__xludf.DUMMYFUNCTION("IMPORTRANGE(""https://docs.google.com/spreadsheets/d/1SX6NBoVAgQJ6U1MVXOaj8PK2l7WJ3RER9xtqwdhxkhw/edit?usp=sharing"",""ระยอง!J416"")"),0)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IFERROR(__xludf.DUMMYFUNCTION("IMPORTRANGE(""https://docs.google.com/spreadsheets/d/1SX6NBoVAgQJ6U1MVXOaj8PK2l7WJ3RER9xtqwdhxkhw/edit?usp=sharing"",""ระยอง!I417"")"),0)</f>
        <v>0</v>
      </c>
      <c r="J522" s="188">
        <f ca="1">IFERROR(__xludf.DUMMYFUNCTION("IMPORTRANGE(""https://docs.google.com/spreadsheets/d/1SX6NBoVAgQJ6U1MVXOaj8PK2l7WJ3RER9xtqwdhxkhw/edit?usp=sharing"",""ระยอง!J417"")"),0)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IFERROR(__xludf.DUMMYFUNCTION("IMPORTRANGE(""https://docs.google.com/spreadsheets/d/1SX6NBoVAgQJ6U1MVXOaj8PK2l7WJ3RER9xtqwdhxkhw/edit?usp=sharing"",""ระยอง!I418"")"),0)</f>
        <v>0</v>
      </c>
      <c r="J523" s="188">
        <f ca="1">IFERROR(__xludf.DUMMYFUNCTION("IMPORTRANGE(""https://docs.google.com/spreadsheets/d/1SX6NBoVAgQJ6U1MVXOaj8PK2l7WJ3RER9xtqwdhxkhw/edit?usp=sharing"",""ระยอง!J418"")"),561)</f>
        <v>561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IFERROR(__xludf.DUMMYFUNCTION("IMPORTRANGE(""https://docs.google.com/spreadsheets/d/1SX6NBoVAgQJ6U1MVXOaj8PK2l7WJ3RER9xtqwdhxkhw/edit?usp=sharing"",""ระยอง!I419"")"),0)</f>
        <v>0</v>
      </c>
      <c r="J524" s="188">
        <f ca="1">IFERROR(__xludf.DUMMYFUNCTION("IMPORTRANGE(""https://docs.google.com/spreadsheets/d/1SX6NBoVAgQJ6U1MVXOaj8PK2l7WJ3RER9xtqwdhxkhw/edit?usp=sharing"",""ระยอง!J419"")"),18)</f>
        <v>18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IFERROR(__xludf.DUMMYFUNCTION("IMPORTRANGE(""https://docs.google.com/spreadsheets/d/1SX6NBoVAgQJ6U1MVXOaj8PK2l7WJ3RER9xtqwdhxkhw/edit?usp=sharing"",""ระยอง!I420"")"),561)</f>
        <v>561</v>
      </c>
      <c r="J525" s="285">
        <f ca="1">IFERROR(__xludf.DUMMYFUNCTION("IMPORTRANGE(""https://docs.google.com/spreadsheets/d/1SX6NBoVAgQJ6U1MVXOaj8PK2l7WJ3RER9xtqwdhxkhw/edit?usp=sharing"",""ระยอง!J420"")"),561)</f>
        <v>561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IFERROR(__xludf.DUMMYFUNCTION("IMPORTRANGE(""https://docs.google.com/spreadsheets/d/1SX6NBoVAgQJ6U1MVXOaj8PK2l7WJ3RER9xtqwdhxkhw/edit?usp=sharing"",""ระยอง!I421"")"),18)</f>
        <v>18</v>
      </c>
      <c r="J526" s="285">
        <f ca="1">IFERROR(__xludf.DUMMYFUNCTION("IMPORTRANGE(""https://docs.google.com/spreadsheets/d/1SX6NBoVAgQJ6U1MVXOaj8PK2l7WJ3RER9xtqwdhxkhw/edit?usp=sharing"",""ระยอง!J421"")"),18)</f>
        <v>18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IFERROR(__xludf.DUMMYFUNCTION("IMPORTRANGE(""https://docs.google.com/spreadsheets/d/1SX6NBoVAgQJ6U1MVXOaj8PK2l7WJ3RER9xtqwdhxkhw/edit?usp=sharing"",""ระยอง!I422"")"),0)</f>
        <v>0</v>
      </c>
      <c r="J527" s="198">
        <f ca="1">IFERROR(__xludf.DUMMYFUNCTION("IMPORTRANGE(""https://docs.google.com/spreadsheets/d/1SX6NBoVAgQJ6U1MVXOaj8PK2l7WJ3RER9xtqwdhxkhw/edit?usp=sharing"",""ระยอง!J422"")"),547)</f>
        <v>547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IFERROR(__xludf.DUMMYFUNCTION("IMPORTRANGE(""https://docs.google.com/spreadsheets/d/1SX6NBoVAgQJ6U1MVXOaj8PK2l7WJ3RER9xtqwdhxkhw/edit?usp=sharing"",""ระยอง!I423"")"),0)</f>
        <v>0</v>
      </c>
      <c r="J528" s="198">
        <f ca="1">IFERROR(__xludf.DUMMYFUNCTION("IMPORTRANGE(""https://docs.google.com/spreadsheets/d/1SX6NBoVAgQJ6U1MVXOaj8PK2l7WJ3RER9xtqwdhxkhw/edit?usp=sharing"",""ระยอง!J423"")"),16)</f>
        <v>16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IFERROR(__xludf.DUMMYFUNCTION("IMPORTRANGE(""https://docs.google.com/spreadsheets/d/1SX6NBoVAgQJ6U1MVXOaj8PK2l7WJ3RER9xtqwdhxkhw/edit?usp=sharing"",""ระยอง!I424"")"),0)</f>
        <v>0</v>
      </c>
      <c r="J529" s="198">
        <f ca="1">IFERROR(__xludf.DUMMYFUNCTION("IMPORTRANGE(""https://docs.google.com/spreadsheets/d/1SX6NBoVAgQJ6U1MVXOaj8PK2l7WJ3RER9xtqwdhxkhw/edit?usp=sharing"",""ระยอง!J424"")"),14)</f>
        <v>14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IFERROR(__xludf.DUMMYFUNCTION("IMPORTRANGE(""https://docs.google.com/spreadsheets/d/1SX6NBoVAgQJ6U1MVXOaj8PK2l7WJ3RER9xtqwdhxkhw/edit?usp=sharing"",""ระยอง!I425"")"),0)</f>
        <v>0</v>
      </c>
      <c r="J530" s="198">
        <f ca="1">IFERROR(__xludf.DUMMYFUNCTION("IMPORTRANGE(""https://docs.google.com/spreadsheets/d/1SX6NBoVAgQJ6U1MVXOaj8PK2l7WJ3RER9xtqwdhxkhw/edit?usp=sharing"",""ระยอง!J425"")"),2)</f>
        <v>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IFERROR(__xludf.DUMMYFUNCTION("IMPORTRANGE(""https://docs.google.com/spreadsheets/d/1SX6NBoVAgQJ6U1MVXOaj8PK2l7WJ3RER9xtqwdhxkhw/edit?usp=sharing"",""ระยอง!I426"")"),0)</f>
        <v>0</v>
      </c>
      <c r="J531" s="198">
        <f ca="1">IFERROR(__xludf.DUMMYFUNCTION("IMPORTRANGE(""https://docs.google.com/spreadsheets/d/1SX6NBoVAgQJ6U1MVXOaj8PK2l7WJ3RER9xtqwdhxkhw/edit?usp=sharing"",""ระยอง!J426"")"),0)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IFERROR(__xludf.DUMMYFUNCTION("IMPORTRANGE(""https://docs.google.com/spreadsheets/d/1SX6NBoVAgQJ6U1MVXOaj8PK2l7WJ3RER9xtqwdhxkhw/edit?usp=sharing"",""ระยอง!I427"")"),0)</f>
        <v>0</v>
      </c>
      <c r="J532" s="466">
        <f ca="1">IFERROR(__xludf.DUMMYFUNCTION("IMPORTRANGE(""https://docs.google.com/spreadsheets/d/1SX6NBoVAgQJ6U1MVXOaj8PK2l7WJ3RER9xtqwdhxkhw/edit?usp=sharing"",""ระยอง!J427"")"),0)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IFERROR(__xludf.DUMMYFUNCTION("IMPORTRANGE(""https://docs.google.com/spreadsheets/d/1SX6NBoVAgQJ6U1MVXOaj8PK2l7WJ3RER9xtqwdhxkhw/edit?usp=sharing"",""ระยอง!I428"")"),22)</f>
        <v>22</v>
      </c>
      <c r="J533" s="410">
        <f ca="1">IFERROR(__xludf.DUMMYFUNCTION("IMPORTRANGE(""https://docs.google.com/spreadsheets/d/1SX6NBoVAgQJ6U1MVXOaj8PK2l7WJ3RER9xtqwdhxkhw/edit?usp=sharing"",""ระยอง!J428"")"),22)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IFERROR(__xludf.DUMMYFUNCTION("IMPORTRANGE(""https://docs.google.com/spreadsheets/d/1SX6NBoVAgQJ6U1MVXOaj8PK2l7WJ3RER9xtqwdhxkhw/edit?usp=sharing"",""ระยอง!L428"")"),34340)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IFERROR(__xludf.DUMMYFUNCTION("IMPORTRANGE(""https://docs.google.com/spreadsheets/d/1SX6NBoVAgQJ6U1MVXOaj8PK2l7WJ3RER9xtqwdhxkhw/edit?usp=sharing"",""ระยอง!M428"")"),31150)</f>
        <v>31150</v>
      </c>
      <c r="O533" s="412">
        <f t="shared" ref="O533:O537" ca="1" si="118">+IF(L533&gt;0,N533*100/L533,0)</f>
        <v>90.710541642399534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IFERROR(__xludf.DUMMYFUNCTION("IMPORTRANGE(""https://docs.google.com/spreadsheets/d/1SX6NBoVAgQJ6U1MVXOaj8PK2l7WJ3RER9xtqwdhxkhw/edit?usp=sharing"",""ระยอง!L429"")"),0)</f>
        <v>0</v>
      </c>
      <c r="M534" s="164"/>
      <c r="N534" s="169">
        <f ca="1">IFERROR(__xludf.DUMMYFUNCTION("IMPORTRANGE(""https://docs.google.com/spreadsheets/d/1SX6NBoVAgQJ6U1MVXOaj8PK2l7WJ3RER9xtqwdhxkhw/edit?usp=sharing"",""ระยอง!M429"")"),0)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IFERROR(__xludf.DUMMYFUNCTION("IMPORTRANGE(""https://docs.google.com/spreadsheets/d/1SX6NBoVAgQJ6U1MVXOaj8PK2l7WJ3RER9xtqwdhxkhw/edit?usp=sharing"",""ระยอง!L430"")"),34340)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IFERROR(__xludf.DUMMYFUNCTION("IMPORTRANGE(""https://docs.google.com/spreadsheets/d/1SX6NBoVAgQJ6U1MVXOaj8PK2l7WJ3RER9xtqwdhxkhw/edit?usp=sharing"",""ระยอง!M430"")"),31150)</f>
        <v>31150</v>
      </c>
      <c r="O535" s="169">
        <f t="shared" ca="1" si="118"/>
        <v>90.710541642399534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IFERROR(__xludf.DUMMYFUNCTION("IMPORTRANGE(""https://docs.google.com/spreadsheets/d/1SX6NBoVAgQJ6U1MVXOaj8PK2l7WJ3RER9xtqwdhxkhw/edit?usp=sharing"",""ระยอง!L431"")"),0)</f>
        <v>0</v>
      </c>
      <c r="M536" s="169"/>
      <c r="N536" s="169">
        <f ca="1">IFERROR(__xludf.DUMMYFUNCTION("IMPORTRANGE(""https://docs.google.com/spreadsheets/d/1SX6NBoVAgQJ6U1MVXOaj8PK2l7WJ3RER9xtqwdhxkhw/edit?usp=sharing"",""ระยอง!M431"")"),0)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IFERROR(__xludf.DUMMYFUNCTION("IMPORTRANGE(""https://docs.google.com/spreadsheets/d/1SX6NBoVAgQJ6U1MVXOaj8PK2l7WJ3RER9xtqwdhxkhw/edit?usp=sharing"",""ระยอง!L432"")"),34340)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IFERROR(__xludf.DUMMYFUNCTION("IMPORTRANGE(""https://docs.google.com/spreadsheets/d/1SX6NBoVAgQJ6U1MVXOaj8PK2l7WJ3RER9xtqwdhxkhw/edit?usp=sharing"",""ระยอง!M432"")"),31150)</f>
        <v>31150</v>
      </c>
      <c r="O537" s="169">
        <f t="shared" ca="1" si="118"/>
        <v>90.710541642399534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IFERROR(__xludf.DUMMYFUNCTION("IMPORTRANGE(""https://docs.google.com/spreadsheets/d/1SX6NBoVAgQJ6U1MVXOaj8PK2l7WJ3RER9xtqwdhxkhw/edit?usp=sharing"",""ระยอง!M433"")"),21840)</f>
        <v>21840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IFERROR(__xludf.DUMMYFUNCTION("IMPORTRANGE(""https://docs.google.com/spreadsheets/d/1SX6NBoVAgQJ6U1MVXOaj8PK2l7WJ3RER9xtqwdhxkhw/edit?usp=sharing"",""ระยอง!M434"")"),0)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IFERROR(__xludf.DUMMYFUNCTION("IMPORTRANGE(""https://docs.google.com/spreadsheets/d/1SX6NBoVAgQJ6U1MVXOaj8PK2l7WJ3RER9xtqwdhxkhw/edit?usp=sharing"",""ระยอง!M435"")"),0)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IFERROR(__xludf.DUMMYFUNCTION("IMPORTRANGE(""https://docs.google.com/spreadsheets/d/1SX6NBoVAgQJ6U1MVXOaj8PK2l7WJ3RER9xtqwdhxkhw/edit?usp=sharing"",""ระยอง!M436"")"),9310)</f>
        <v>9310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IFERROR(__xludf.DUMMYFUNCTION("IMPORTRANGE(""https://docs.google.com/spreadsheets/d/1SX6NBoVAgQJ6U1MVXOaj8PK2l7WJ3RER9xtqwdhxkhw/edit?usp=sharing"",""ระยอง!J438"")"),0)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IFERROR(__xludf.DUMMYFUNCTION("IMPORTRANGE(""https://docs.google.com/spreadsheets/d/1SX6NBoVAgQJ6U1MVXOaj8PK2l7WJ3RER9xtqwdhxkhw/edit?usp=sharing"",""ระยอง!J439"")"),1)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IFERROR(__xludf.DUMMYFUNCTION("IMPORTRANGE(""https://docs.google.com/spreadsheets/d/1SX6NBoVAgQJ6U1MVXOaj8PK2l7WJ3RER9xtqwdhxkhw/edit?usp=sharing"",""ระยอง!J440"")"),1)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IFERROR(__xludf.DUMMYFUNCTION("IMPORTRANGE(""https://docs.google.com/spreadsheets/d/1SX6NBoVAgQJ6U1MVXOaj8PK2l7WJ3RER9xtqwdhxkhw/edit?usp=sharing"",""ระยอง!J441"")"),1)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IFERROR(__xludf.DUMMYFUNCTION("IMPORTRANGE(""https://docs.google.com/spreadsheets/d/1SX6NBoVAgQJ6U1MVXOaj8PK2l7WJ3RER9xtqwdhxkhw/edit?usp=sharing"",""ระยอง!I442"")"),22)</f>
        <v>22</v>
      </c>
      <c r="J547" s="189">
        <f ca="1">IFERROR(__xludf.DUMMYFUNCTION("IMPORTRANGE(""https://docs.google.com/spreadsheets/d/1SX6NBoVAgQJ6U1MVXOaj8PK2l7WJ3RER9xtqwdhxkhw/edit?usp=sharing"",""ระยอง!J442"")"),22)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IFERROR(__xludf.DUMMYFUNCTION("IMPORTRANGE(""https://docs.google.com/spreadsheets/d/1SX6NBoVAgQJ6U1MVXOaj8PK2l7WJ3RER9xtqwdhxkhw/edit?usp=sharing"",""ระยอง!J166"")"),0)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IFERROR(__xludf.DUMMYFUNCTION("IMPORTRANGE(""https://docs.google.com/spreadsheets/d/1SX6NBoVAgQJ6U1MVXOaj8PK2l7WJ3RER9xtqwdhxkhw/edit?usp=sharing"",""ระยอง!J444"")"),0)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IFERROR(__xludf.DUMMYFUNCTION("IMPORTRANGE(""https://docs.google.com/spreadsheets/d/1SX6NBoVAgQJ6U1MVXOaj8PK2l7WJ3RER9xtqwdhxkhw/edit?usp=sharing"",""ระยอง!J445"")"),0)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IFERROR(__xludf.DUMMYFUNCTION("IMPORTRANGE(""https://docs.google.com/spreadsheets/d/1SX6NBoVAgQJ6U1MVXOaj8PK2l7WJ3RER9xtqwdhxkhw/edit?usp=sharing"",""ระยอง!I446"")"),0)</f>
        <v>0</v>
      </c>
      <c r="J551" s="410">
        <f ca="1">IFERROR(__xludf.DUMMYFUNCTION("IMPORTRANGE(""https://docs.google.com/spreadsheets/d/1SX6NBoVAgQJ6U1MVXOaj8PK2l7WJ3RER9xtqwdhxkhw/edit?usp=sharing"",""ระยอง!J446"")"),0)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IFERROR(__xludf.DUMMYFUNCTION("IMPORTRANGE(""https://docs.google.com/spreadsheets/d/1SX6NBoVAgQJ6U1MVXOaj8PK2l7WJ3RER9xtqwdhxkhw/edit?usp=sharing"",""ระยอง!L446"")"),0)</f>
        <v>0</v>
      </c>
      <c r="M551" s="412"/>
      <c r="N551" s="412">
        <f ca="1">IFERROR(__xludf.DUMMYFUNCTION("IMPORTRANGE(""https://docs.google.com/spreadsheets/d/1SX6NBoVAgQJ6U1MVXOaj8PK2l7WJ3RER9xtqwdhxkhw/edit?usp=sharing"",""ระยอง!M446"")"),0)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IFERROR(__xludf.DUMMYFUNCTION("IMPORTRANGE(""https://docs.google.com/spreadsheets/d/1SX6NBoVAgQJ6U1MVXOaj8PK2l7WJ3RER9xtqwdhxkhw/edit?usp=sharing"",""ระยอง!L447"")"),0)</f>
        <v>0</v>
      </c>
      <c r="M552" s="164"/>
      <c r="N552" s="169">
        <f ca="1">IFERROR(__xludf.DUMMYFUNCTION("IMPORTRANGE(""https://docs.google.com/spreadsheets/d/1SX6NBoVAgQJ6U1MVXOaj8PK2l7WJ3RER9xtqwdhxkhw/edit?usp=sharing"",""ระยอง!M447"")"),0)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IFERROR(__xludf.DUMMYFUNCTION("IMPORTRANGE(""https://docs.google.com/spreadsheets/d/1SX6NBoVAgQJ6U1MVXOaj8PK2l7WJ3RER9xtqwdhxkhw/edit?usp=sharing"",""ระยอง!L448"")"),0)</f>
        <v>0</v>
      </c>
      <c r="M553" s="165"/>
      <c r="N553" s="169">
        <f ca="1">IFERROR(__xludf.DUMMYFUNCTION("IMPORTRANGE(""https://docs.google.com/spreadsheets/d/1SX6NBoVAgQJ6U1MVXOaj8PK2l7WJ3RER9xtqwdhxkhw/edit?usp=sharing"",""ระยอง!M448"")"),0)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IFERROR(__xludf.DUMMYFUNCTION("IMPORTRANGE(""https://docs.google.com/spreadsheets/d/1SX6NBoVAgQJ6U1MVXOaj8PK2l7WJ3RER9xtqwdhxkhw/edit?usp=sharing"",""ระยอง!L449"")"),0)</f>
        <v>0</v>
      </c>
      <c r="M554" s="169"/>
      <c r="N554" s="169">
        <f ca="1">IFERROR(__xludf.DUMMYFUNCTION("IMPORTRANGE(""https://docs.google.com/spreadsheets/d/1SX6NBoVAgQJ6U1MVXOaj8PK2l7WJ3RER9xtqwdhxkhw/edit?usp=sharing"",""ระยอง!M449"")"),0)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IFERROR(__xludf.DUMMYFUNCTION("IMPORTRANGE(""https://docs.google.com/spreadsheets/d/1SX6NBoVAgQJ6U1MVXOaj8PK2l7WJ3RER9xtqwdhxkhw/edit?usp=sharing"",""ระยอง!L450"")"),0)</f>
        <v>0</v>
      </c>
      <c r="M555" s="169"/>
      <c r="N555" s="169">
        <f ca="1">IFERROR(__xludf.DUMMYFUNCTION("IMPORTRANGE(""https://docs.google.com/spreadsheets/d/1SX6NBoVAgQJ6U1MVXOaj8PK2l7WJ3RER9xtqwdhxkhw/edit?usp=sharing"",""ระยอง!M450"")"),0)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IFERROR(__xludf.DUMMYFUNCTION("IMPORTRANGE(""https://docs.google.com/spreadsheets/d/1SX6NBoVAgQJ6U1MVXOaj8PK2l7WJ3RER9xtqwdhxkhw/edit?usp=sharing"",""ระยอง!M451"")"),0)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IFERROR(__xludf.DUMMYFUNCTION("IMPORTRANGE(""https://docs.google.com/spreadsheets/d/1SX6NBoVAgQJ6U1MVXOaj8PK2l7WJ3RER9xtqwdhxkhw/edit?usp=sharing"",""ระยอง!M452"")"),0)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IFERROR(__xludf.DUMMYFUNCTION("IMPORTRANGE(""https://docs.google.com/spreadsheets/d/1SX6NBoVAgQJ6U1MVXOaj8PK2l7WJ3RER9xtqwdhxkhw/edit?usp=sharing"",""ระยอง!M453"")"),0)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IFERROR(__xludf.DUMMYFUNCTION("IMPORTRANGE(""https://docs.google.com/spreadsheets/d/1SX6NBoVAgQJ6U1MVXOaj8PK2l7WJ3RER9xtqwdhxkhw/edit?usp=sharing"",""ระยอง!M454"")"),0)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IFERROR(__xludf.DUMMYFUNCTION("IMPORTRANGE(""https://docs.google.com/spreadsheets/d/1SX6NBoVAgQJ6U1MVXOaj8PK2l7WJ3RER9xtqwdhxkhw/edit?usp=sharing"",""ระยอง!I455"")"),0)</f>
        <v>0</v>
      </c>
      <c r="J560" s="162">
        <f ca="1">IFERROR(__xludf.DUMMYFUNCTION("IMPORTRANGE(""https://docs.google.com/spreadsheets/d/1SX6NBoVAgQJ6U1MVXOaj8PK2l7WJ3RER9xtqwdhxkhw/edit?usp=sharing"",""ระยอง!J455"")"),0)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IFERROR(__xludf.DUMMYFUNCTION("IMPORTRANGE(""https://docs.google.com/spreadsheets/d/1SX6NBoVAgQJ6U1MVXOaj8PK2l7WJ3RER9xtqwdhxkhw/edit?usp=sharing"",""ระยอง!I456"")"),0)</f>
        <v>0</v>
      </c>
      <c r="J561" s="204">
        <f ca="1">IFERROR(__xludf.DUMMYFUNCTION("IMPORTRANGE(""https://docs.google.com/spreadsheets/d/1SX6NBoVAgQJ6U1MVXOaj8PK2l7WJ3RER9xtqwdhxkhw/edit?usp=sharing"",""ระยอง!J456"")"),0)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IFERROR(__xludf.DUMMYFUNCTION("IMPORTRANGE(""https://docs.google.com/spreadsheets/d/1SX6NBoVAgQJ6U1MVXOaj8PK2l7WJ3RER9xtqwdhxkhw/edit?usp=sharing"",""ระยอง!I459"")"),200)</f>
        <v>200</v>
      </c>
      <c r="J564" s="371">
        <f ca="1">IFERROR(__xludf.DUMMYFUNCTION("IMPORTRANGE(""https://docs.google.com/spreadsheets/d/1SX6NBoVAgQJ6U1MVXOaj8PK2l7WJ3RER9xtqwdhxkhw/edit?usp=sharing"",""ระยอง!J459"")"),414)</f>
        <v>414</v>
      </c>
      <c r="K564" s="372">
        <f ca="1">IF(I564&gt;0,J564*100/I564,0)</f>
        <v>207</v>
      </c>
      <c r="L564" s="373">
        <f ca="1">IFERROR(__xludf.DUMMYFUNCTION("IMPORTRANGE(""https://docs.google.com/spreadsheets/d/1SX6NBoVAgQJ6U1MVXOaj8PK2l7WJ3RER9xtqwdhxkhw/edit?usp=sharing"",""ระยอง!L459"")"),120720)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IFERROR(__xludf.DUMMYFUNCTION("IMPORTRANGE(""https://docs.google.com/spreadsheets/d/1SX6NBoVAgQJ6U1MVXOaj8PK2l7WJ3RER9xtqwdhxkhw/edit?usp=sharing"",""ระยอง!M459"")"),93145)</f>
        <v>93145</v>
      </c>
      <c r="O564" s="373">
        <f t="shared" ref="O564:O568" ca="1" si="122">+IF(L564&gt;0,N564*100/L564,0)</f>
        <v>77.157886017229956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IFERROR(__xludf.DUMMYFUNCTION("IMPORTRANGE(""https://docs.google.com/spreadsheets/d/1SX6NBoVAgQJ6U1MVXOaj8PK2l7WJ3RER9xtqwdhxkhw/edit?usp=sharing"",""ระยอง!L460"")"),0)</f>
        <v>0</v>
      </c>
      <c r="M565" s="164"/>
      <c r="N565" s="169">
        <f ca="1">IFERROR(__xludf.DUMMYFUNCTION("IMPORTRANGE(""https://docs.google.com/spreadsheets/d/1SX6NBoVAgQJ6U1MVXOaj8PK2l7WJ3RER9xtqwdhxkhw/edit?usp=sharing"",""ระยอง!M460"")"),0)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IFERROR(__xludf.DUMMYFUNCTION("IMPORTRANGE(""https://docs.google.com/spreadsheets/d/1SX6NBoVAgQJ6U1MVXOaj8PK2l7WJ3RER9xtqwdhxkhw/edit?usp=sharing"",""ระยอง!L461"")"),120720)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IFERROR(__xludf.DUMMYFUNCTION("IMPORTRANGE(""https://docs.google.com/spreadsheets/d/1SX6NBoVAgQJ6U1MVXOaj8PK2l7WJ3RER9xtqwdhxkhw/edit?usp=sharing"",""ระยอง!M461"")"),93145)</f>
        <v>93145</v>
      </c>
      <c r="O566" s="169">
        <f t="shared" ca="1" si="122"/>
        <v>77.157886017229956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IFERROR(__xludf.DUMMYFUNCTION("IMPORTRANGE(""https://docs.google.com/spreadsheets/d/1SX6NBoVAgQJ6U1MVXOaj8PK2l7WJ3RER9xtqwdhxkhw/edit?usp=sharing"",""ระยอง!L462"")"),0)</f>
        <v>0</v>
      </c>
      <c r="M567" s="169"/>
      <c r="N567" s="169">
        <f ca="1">IFERROR(__xludf.DUMMYFUNCTION("IMPORTRANGE(""https://docs.google.com/spreadsheets/d/1SX6NBoVAgQJ6U1MVXOaj8PK2l7WJ3RER9xtqwdhxkhw/edit?usp=sharing"",""ระยอง!M462"")"),0)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IFERROR(__xludf.DUMMYFUNCTION("IMPORTRANGE(""https://docs.google.com/spreadsheets/d/1SX6NBoVAgQJ6U1MVXOaj8PK2l7WJ3RER9xtqwdhxkhw/edit?usp=sharing"",""ระยอง!L463"")"),120720)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IFERROR(__xludf.DUMMYFUNCTION("IMPORTRANGE(""https://docs.google.com/spreadsheets/d/1SX6NBoVAgQJ6U1MVXOaj8PK2l7WJ3RER9xtqwdhxkhw/edit?usp=sharing"",""ระยอง!M463"")"),93145)</f>
        <v>93145</v>
      </c>
      <c r="O568" s="169">
        <f t="shared" ca="1" si="122"/>
        <v>77.157886017229956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IFERROR(__xludf.DUMMYFUNCTION("IMPORTRANGE(""https://docs.google.com/spreadsheets/d/1SX6NBoVAgQJ6U1MVXOaj8PK2l7WJ3RER9xtqwdhxkhw/edit?usp=sharing"",""ระยอง!M464"")"),0)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IFERROR(__xludf.DUMMYFUNCTION("IMPORTRANGE(""https://docs.google.com/spreadsheets/d/1SX6NBoVAgQJ6U1MVXOaj8PK2l7WJ3RER9xtqwdhxkhw/edit?usp=sharing"",""ระยอง!M465"")"),0)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IFERROR(__xludf.DUMMYFUNCTION("IMPORTRANGE(""https://docs.google.com/spreadsheets/d/1SX6NBoVAgQJ6U1MVXOaj8PK2l7WJ3RER9xtqwdhxkhw/edit?usp=sharing"",""ระยอง!M466"")"),0)</f>
        <v>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IFERROR(__xludf.DUMMYFUNCTION("IMPORTRANGE(""https://docs.google.com/spreadsheets/d/1SX6NBoVAgQJ6U1MVXOaj8PK2l7WJ3RER9xtqwdhxkhw/edit?usp=sharing"",""ระยอง!M467"")"),93145)</f>
        <v>93145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IFERROR(__xludf.DUMMYFUNCTION("IMPORTRANGE(""https://docs.google.com/spreadsheets/d/1SX6NBoVAgQJ6U1MVXOaj8PK2l7WJ3RER9xtqwdhxkhw/edit?usp=sharing"",""ระยอง!I468"")"),200)</f>
        <v>200</v>
      </c>
      <c r="J573" s="420">
        <f ca="1">IFERROR(__xludf.DUMMYFUNCTION("IMPORTRANGE(""https://docs.google.com/spreadsheets/d/1SX6NBoVAgQJ6U1MVXOaj8PK2l7WJ3RER9xtqwdhxkhw/edit?usp=sharing"",""ระยอง!J468"")"),414)</f>
        <v>414</v>
      </c>
      <c r="K573" s="202">
        <f ca="1">IF(I573&gt;0,J573*100/I573,0)</f>
        <v>207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IFERROR(__xludf.DUMMYFUNCTION("IMPORTRANGE(""https://docs.google.com/spreadsheets/d/1SX6NBoVAgQJ6U1MVXOaj8PK2l7WJ3RER9xtqwdhxkhw/edit?usp=sharing"",""ระยอง!I470"")"),0)</f>
        <v>0</v>
      </c>
      <c r="J575" s="198">
        <f ca="1">IFERROR(__xludf.DUMMYFUNCTION("IMPORTRANGE(""https://docs.google.com/spreadsheets/d/1SX6NBoVAgQJ6U1MVXOaj8PK2l7WJ3RER9xtqwdhxkhw/edit?usp=sharing"",""ระยอง!J470"")"),4)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IFERROR(__xludf.DUMMYFUNCTION("IMPORTRANGE(""https://docs.google.com/spreadsheets/d/1SX6NBoVAgQJ6U1MVXOaj8PK2l7WJ3RER9xtqwdhxkhw/edit?usp=sharing"",""ระยอง!I471"")"),0)</f>
        <v>0</v>
      </c>
      <c r="J576" s="198">
        <f ca="1">IFERROR(__xludf.DUMMYFUNCTION("IMPORTRANGE(""https://docs.google.com/spreadsheets/d/1SX6NBoVAgQJ6U1MVXOaj8PK2l7WJ3RER9xtqwdhxkhw/edit?usp=sharing"",""ระยอง!J471"")"),308)</f>
        <v>308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IFERROR(__xludf.DUMMYFUNCTION("IMPORTRANGE(""https://docs.google.com/spreadsheets/d/1SX6NBoVAgQJ6U1MVXOaj8PK2l7WJ3RER9xtqwdhxkhw/edit?usp=sharing"",""ระยอง!I472"")"),0)</f>
        <v>0</v>
      </c>
      <c r="J577" s="189">
        <f ca="1">IFERROR(__xludf.DUMMYFUNCTION("IMPORTRANGE(""https://docs.google.com/spreadsheets/d/1SX6NBoVAgQJ6U1MVXOaj8PK2l7WJ3RER9xtqwdhxkhw/edit?usp=sharing"",""ระยอง!J472"")"),106)</f>
        <v>106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IFERROR(__xludf.DUMMYFUNCTION("IMPORTRANGE(""https://docs.google.com/spreadsheets/d/1SX6NBoVAgQJ6U1MVXOaj8PK2l7WJ3RER9xtqwdhxkhw/edit?usp=sharing"",""ระยอง!I473"")"),0)</f>
        <v>0</v>
      </c>
      <c r="J578" s="198">
        <f ca="1">IFERROR(__xludf.DUMMYFUNCTION("IMPORTRANGE(""https://docs.google.com/spreadsheets/d/1SX6NBoVAgQJ6U1MVXOaj8PK2l7WJ3RER9xtqwdhxkhw/edit?usp=sharing"",""ระยอง!J473"")"),0)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IFERROR(__xludf.DUMMYFUNCTION("IMPORTRANGE(""https://docs.google.com/spreadsheets/d/1SX6NBoVAgQJ6U1MVXOaj8PK2l7WJ3RER9xtqwdhxkhw/edit?usp=sharing"",""ระยอง!I474"")"),0)</f>
        <v>0</v>
      </c>
      <c r="J579" s="198">
        <f ca="1">IFERROR(__xludf.DUMMYFUNCTION("IMPORTRANGE(""https://docs.google.com/spreadsheets/d/1SX6NBoVAgQJ6U1MVXOaj8PK2l7WJ3RER9xtqwdhxkhw/edit?usp=sharing"",""ระยอง!J474"")"),0)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IFERROR(__xludf.DUMMYFUNCTION("IMPORTRANGE(""https://docs.google.com/spreadsheets/d/1SX6NBoVAgQJ6U1MVXOaj8PK2l7WJ3RER9xtqwdhxkhw/edit?usp=sharing"",""ระยอง!I475"")"),0)</f>
        <v>0</v>
      </c>
      <c r="J580" s="371">
        <f ca="1">IFERROR(__xludf.DUMMYFUNCTION("IMPORTRANGE(""https://docs.google.com/spreadsheets/d/1SX6NBoVAgQJ6U1MVXOaj8PK2l7WJ3RER9xtqwdhxkhw/edit?usp=sharing"",""ระยอง!J475"")"),0)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IFERROR(__xludf.DUMMYFUNCTION("IMPORTRANGE(""https://docs.google.com/spreadsheets/d/1SX6NBoVAgQJ6U1MVXOaj8PK2l7WJ3RER9xtqwdhxkhw/edit?usp=sharing"",""ระยอง!L475"")"),106960)</f>
        <v>106960</v>
      </c>
      <c r="M580" s="373"/>
      <c r="N580" s="373">
        <f ca="1">IFERROR(__xludf.DUMMYFUNCTION("IMPORTRANGE(""https://docs.google.com/spreadsheets/d/1SX6NBoVAgQJ6U1MVXOaj8PK2l7WJ3RER9xtqwdhxkhw/edit?usp=sharing"",""ระยอง!M475"")"),3940)</f>
        <v>3940</v>
      </c>
      <c r="O580" s="373">
        <f t="shared" ref="O580:O584" ca="1" si="124">+IF(L580&gt;0,N580*100/L580,0)</f>
        <v>3.6836200448765894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IFERROR(__xludf.DUMMYFUNCTION("IMPORTRANGE(""https://docs.google.com/spreadsheets/d/1SX6NBoVAgQJ6U1MVXOaj8PK2l7WJ3RER9xtqwdhxkhw/edit?usp=sharing"",""ระยอง!L476"")"),0)</f>
        <v>0</v>
      </c>
      <c r="M581" s="164"/>
      <c r="N581" s="169">
        <f ca="1">IFERROR(__xludf.DUMMYFUNCTION("IMPORTRANGE(""https://docs.google.com/spreadsheets/d/1SX6NBoVAgQJ6U1MVXOaj8PK2l7WJ3RER9xtqwdhxkhw/edit?usp=sharing"",""ระยอง!M476"")"),0)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IFERROR(__xludf.DUMMYFUNCTION("IMPORTRANGE(""https://docs.google.com/spreadsheets/d/1SX6NBoVAgQJ6U1MVXOaj8PK2l7WJ3RER9xtqwdhxkhw/edit?usp=sharing"",""ระยอง!L477"")"),106960)</f>
        <v>106960</v>
      </c>
      <c r="M582" s="165"/>
      <c r="N582" s="169">
        <f ca="1">IFERROR(__xludf.DUMMYFUNCTION("IMPORTRANGE(""https://docs.google.com/spreadsheets/d/1SX6NBoVAgQJ6U1MVXOaj8PK2l7WJ3RER9xtqwdhxkhw/edit?usp=sharing"",""ระยอง!M477"")"),3940)</f>
        <v>3940</v>
      </c>
      <c r="O582" s="169">
        <f t="shared" ca="1" si="124"/>
        <v>3.6836200448765894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IFERROR(__xludf.DUMMYFUNCTION("IMPORTRANGE(""https://docs.google.com/spreadsheets/d/1SX6NBoVAgQJ6U1MVXOaj8PK2l7WJ3RER9xtqwdhxkhw/edit?usp=sharing"",""ระยอง!L478"")"),0)</f>
        <v>0</v>
      </c>
      <c r="M583" s="169"/>
      <c r="N583" s="169">
        <f ca="1">IFERROR(__xludf.DUMMYFUNCTION("IMPORTRANGE(""https://docs.google.com/spreadsheets/d/1SX6NBoVAgQJ6U1MVXOaj8PK2l7WJ3RER9xtqwdhxkhw/edit?usp=sharing"",""ระยอง!M478"")"),0)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IFERROR(__xludf.DUMMYFUNCTION("IMPORTRANGE(""https://docs.google.com/spreadsheets/d/1SX6NBoVAgQJ6U1MVXOaj8PK2l7WJ3RER9xtqwdhxkhw/edit?usp=sharing"",""ระยอง!L479"")"),106960)</f>
        <v>106960</v>
      </c>
      <c r="M584" s="169"/>
      <c r="N584" s="169">
        <f ca="1">IFERROR(__xludf.DUMMYFUNCTION("IMPORTRANGE(""https://docs.google.com/spreadsheets/d/1SX6NBoVAgQJ6U1MVXOaj8PK2l7WJ3RER9xtqwdhxkhw/edit?usp=sharing"",""ระยอง!M479"")"),3940)</f>
        <v>3940</v>
      </c>
      <c r="O584" s="169">
        <f t="shared" ca="1" si="124"/>
        <v>3.6836200448765894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IFERROR(__xludf.DUMMYFUNCTION("IMPORTRANGE(""https://docs.google.com/spreadsheets/d/1SX6NBoVAgQJ6U1MVXOaj8PK2l7WJ3RER9xtqwdhxkhw/edit?usp=sharing"",""ระยอง!M480"")"),0)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IFERROR(__xludf.DUMMYFUNCTION("IMPORTRANGE(""https://docs.google.com/spreadsheets/d/1SX6NBoVAgQJ6U1MVXOaj8PK2l7WJ3RER9xtqwdhxkhw/edit?usp=sharing"",""ระยอง!M481"")"),0)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IFERROR(__xludf.DUMMYFUNCTION("IMPORTRANGE(""https://docs.google.com/spreadsheets/d/1SX6NBoVAgQJ6U1MVXOaj8PK2l7WJ3RER9xtqwdhxkhw/edit?usp=sharing"",""ระยอง!M482"")"),0)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IFERROR(__xludf.DUMMYFUNCTION("IMPORTRANGE(""https://docs.google.com/spreadsheets/d/1SX6NBoVAgQJ6U1MVXOaj8PK2l7WJ3RER9xtqwdhxkhw/edit?usp=sharing"",""ระยอง!M483"")"),3940)</f>
        <v>3940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IFERROR(__xludf.DUMMYFUNCTION("IMPORTRANGE(""https://docs.google.com/spreadsheets/d/1SX6NBoVAgQJ6U1MVXOaj8PK2l7WJ3RER9xtqwdhxkhw/edit?usp=sharing"",""ระยอง!I484"")"),0)</f>
        <v>0</v>
      </c>
      <c r="J589" s="188">
        <f ca="1">IFERROR(__xludf.DUMMYFUNCTION("IMPORTRANGE(""https://docs.google.com/spreadsheets/d/1SX6NBoVAgQJ6U1MVXOaj8PK2l7WJ3RER9xtqwdhxkhw/edit?usp=sharing"",""ระยอง!J484"")"),1)</f>
        <v>1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IFERROR(__xludf.DUMMYFUNCTION("IMPORTRANGE(""https://docs.google.com/spreadsheets/d/1SX6NBoVAgQJ6U1MVXOaj8PK2l7WJ3RER9xtqwdhxkhw/edit?usp=sharing"",""ระยอง!I485"")"),0)</f>
        <v>0</v>
      </c>
      <c r="J590" s="188">
        <f ca="1">IFERROR(__xludf.DUMMYFUNCTION("IMPORTRANGE(""https://docs.google.com/spreadsheets/d/1SX6NBoVAgQJ6U1MVXOaj8PK2l7WJ3RER9xtqwdhxkhw/edit?usp=sharing"",""ระยอง!J485"")"),1.36)</f>
        <v>1.36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IFERROR(__xludf.DUMMYFUNCTION("IMPORTRANGE(""https://docs.google.com/spreadsheets/d/1SX6NBoVAgQJ6U1MVXOaj8PK2l7WJ3RER9xtqwdhxkhw/edit?usp=sharing"",""ระยอง!I486"")"),0)</f>
        <v>0</v>
      </c>
      <c r="J591" s="188">
        <f ca="1">IFERROR(__xludf.DUMMYFUNCTION("IMPORTRANGE(""https://docs.google.com/spreadsheets/d/1SX6NBoVAgQJ6U1MVXOaj8PK2l7WJ3RER9xtqwdhxkhw/edit?usp=sharing"",""ระยอง!J486"")"),0)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IFERROR(__xludf.DUMMYFUNCTION("IMPORTRANGE(""https://docs.google.com/spreadsheets/d/1SX6NBoVAgQJ6U1MVXOaj8PK2l7WJ3RER9xtqwdhxkhw/edit?usp=sharing"",""ระยอง!I487"")"),0)</f>
        <v>0</v>
      </c>
      <c r="J592" s="188">
        <f ca="1">IFERROR(__xludf.DUMMYFUNCTION("IMPORTRANGE(""https://docs.google.com/spreadsheets/d/1SX6NBoVAgQJ6U1MVXOaj8PK2l7WJ3RER9xtqwdhxkhw/edit?usp=sharing"",""ระยอง!J487"")"),0)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IFERROR(__xludf.DUMMYFUNCTION("IMPORTRANGE(""https://docs.google.com/spreadsheets/d/1SX6NBoVAgQJ6U1MVXOaj8PK2l7WJ3RER9xtqwdhxkhw/edit?usp=sharing"",""ระยอง!I488"")"),0)</f>
        <v>0</v>
      </c>
      <c r="J593" s="188">
        <f ca="1">IFERROR(__xludf.DUMMYFUNCTION("IMPORTRANGE(""https://docs.google.com/spreadsheets/d/1SX6NBoVAgQJ6U1MVXOaj8PK2l7WJ3RER9xtqwdhxkhw/edit?usp=sharing"",""ระยอง!J488"")"),0)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IFERROR(__xludf.DUMMYFUNCTION("IMPORTRANGE(""https://docs.google.com/spreadsheets/d/1SX6NBoVAgQJ6U1MVXOaj8PK2l7WJ3RER9xtqwdhxkhw/edit?usp=sharing"",""ระยอง!I489"")"),0)</f>
        <v>0</v>
      </c>
      <c r="J594" s="188">
        <f ca="1">IFERROR(__xludf.DUMMYFUNCTION("IMPORTRANGE(""https://docs.google.com/spreadsheets/d/1SX6NBoVAgQJ6U1MVXOaj8PK2l7WJ3RER9xtqwdhxkhw/edit?usp=sharing"",""ระยอง!J489"")"),0)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IFERROR(__xludf.DUMMYFUNCTION("IMPORTRANGE(""https://docs.google.com/spreadsheets/d/1SX6NBoVAgQJ6U1MVXOaj8PK2l7WJ3RER9xtqwdhxkhw/edit?usp=sharing"",""ระยอง!I490"")"),0)</f>
        <v>0</v>
      </c>
      <c r="J595" s="188">
        <f ca="1">IFERROR(__xludf.DUMMYFUNCTION("IMPORTRANGE(""https://docs.google.com/spreadsheets/d/1SX6NBoVAgQJ6U1MVXOaj8PK2l7WJ3RER9xtqwdhxkhw/edit?usp=sharing"",""ระยอง!J490"")"),0)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IFERROR(__xludf.DUMMYFUNCTION("IMPORTRANGE(""https://docs.google.com/spreadsheets/d/1SX6NBoVAgQJ6U1MVXOaj8PK2l7WJ3RER9xtqwdhxkhw/edit?usp=sharing"",""ระยอง!I491"")"),0)</f>
        <v>0</v>
      </c>
      <c r="J596" s="242">
        <f ca="1">IFERROR(__xludf.DUMMYFUNCTION("IMPORTRANGE(""https://docs.google.com/spreadsheets/d/1SX6NBoVAgQJ6U1MVXOaj8PK2l7WJ3RER9xtqwdhxkhw/edit?usp=sharing"",""ระยอง!J491"")"),0)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IFERROR(__xludf.DUMMYFUNCTION("IMPORTRANGE(""https://docs.google.com/spreadsheets/d/1SX6NBoVAgQJ6U1MVXOaj8PK2l7WJ3RER9xtqwdhxkhw/edit?usp=sharing"",""ระยอง!I492"")"),50)</f>
        <v>50</v>
      </c>
      <c r="J597" s="488">
        <f ca="1">IFERROR(__xludf.DUMMYFUNCTION("IMPORTRANGE(""https://docs.google.com/spreadsheets/d/1SX6NBoVAgQJ6U1MVXOaj8PK2l7WJ3RER9xtqwdhxkhw/edit?usp=sharing"",""ระยอง!J492"")"),0)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IFERROR(__xludf.DUMMYFUNCTION("IMPORTRANGE(""https://docs.google.com/spreadsheets/d/1SX6NBoVAgQJ6U1MVXOaj8PK2l7WJ3RER9xtqwdhxkhw/edit?usp=sharing"",""ระยอง!L492"")"),4550)</f>
        <v>4550</v>
      </c>
      <c r="M597" s="412"/>
      <c r="N597" s="412">
        <f ca="1">IFERROR(__xludf.DUMMYFUNCTION("IMPORTRANGE(""https://docs.google.com/spreadsheets/d/1SX6NBoVAgQJ6U1MVXOaj8PK2l7WJ3RER9xtqwdhxkhw/edit?usp=sharing"",""ระยอง!M492"")"),1300)</f>
        <v>1300</v>
      </c>
      <c r="O597" s="412">
        <f t="shared" ref="O597:O601" ca="1" si="126">+IF(L597&gt;0,N597*100/L597,0)</f>
        <v>28.571428571428573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IFERROR(__xludf.DUMMYFUNCTION("IMPORTRANGE(""https://docs.google.com/spreadsheets/d/1SX6NBoVAgQJ6U1MVXOaj8PK2l7WJ3RER9xtqwdhxkhw/edit?usp=sharing"",""ระยอง!L493"")"),0)</f>
        <v>0</v>
      </c>
      <c r="M598" s="164"/>
      <c r="N598" s="169">
        <f ca="1">IFERROR(__xludf.DUMMYFUNCTION("IMPORTRANGE(""https://docs.google.com/spreadsheets/d/1SX6NBoVAgQJ6U1MVXOaj8PK2l7WJ3RER9xtqwdhxkhw/edit?usp=sharing"",""ระยอง!M493"")"),0)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IFERROR(__xludf.DUMMYFUNCTION("IMPORTRANGE(""https://docs.google.com/spreadsheets/d/1SX6NBoVAgQJ6U1MVXOaj8PK2l7WJ3RER9xtqwdhxkhw/edit?usp=sharing"",""ระยอง!L494"")"),4550)</f>
        <v>4550</v>
      </c>
      <c r="M599" s="165"/>
      <c r="N599" s="169">
        <f ca="1">IFERROR(__xludf.DUMMYFUNCTION("IMPORTRANGE(""https://docs.google.com/spreadsheets/d/1SX6NBoVAgQJ6U1MVXOaj8PK2l7WJ3RER9xtqwdhxkhw/edit?usp=sharing"",""ระยอง!M494"")"),1300)</f>
        <v>1300</v>
      </c>
      <c r="O599" s="169">
        <f t="shared" ca="1" si="126"/>
        <v>28.571428571428573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IFERROR(__xludf.DUMMYFUNCTION("IMPORTRANGE(""https://docs.google.com/spreadsheets/d/1SX6NBoVAgQJ6U1MVXOaj8PK2l7WJ3RER9xtqwdhxkhw/edit?usp=sharing"",""ระยอง!L495"")"),0)</f>
        <v>0</v>
      </c>
      <c r="M600" s="169"/>
      <c r="N600" s="169">
        <f ca="1">IFERROR(__xludf.DUMMYFUNCTION("IMPORTRANGE(""https://docs.google.com/spreadsheets/d/1SX6NBoVAgQJ6U1MVXOaj8PK2l7WJ3RER9xtqwdhxkhw/edit?usp=sharing"",""ระยอง!M495"")"),0)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IFERROR(__xludf.DUMMYFUNCTION("IMPORTRANGE(""https://docs.google.com/spreadsheets/d/1SX6NBoVAgQJ6U1MVXOaj8PK2l7WJ3RER9xtqwdhxkhw/edit?usp=sharing"",""ระยอง!L496"")"),4550)</f>
        <v>4550</v>
      </c>
      <c r="M601" s="169"/>
      <c r="N601" s="169">
        <f ca="1">IFERROR(__xludf.DUMMYFUNCTION("IMPORTRANGE(""https://docs.google.com/spreadsheets/d/1SX6NBoVAgQJ6U1MVXOaj8PK2l7WJ3RER9xtqwdhxkhw/edit?usp=sharing"",""ระยอง!M496"")"),1300)</f>
        <v>1300</v>
      </c>
      <c r="O601" s="169">
        <f t="shared" ca="1" si="126"/>
        <v>28.571428571428573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IFERROR(__xludf.DUMMYFUNCTION("IMPORTRANGE(""https://docs.google.com/spreadsheets/d/1SX6NBoVAgQJ6U1MVXOaj8PK2l7WJ3RER9xtqwdhxkhw/edit?usp=sharing"",""ระยอง!M497"")"),0)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IFERROR(__xludf.DUMMYFUNCTION("IMPORTRANGE(""https://docs.google.com/spreadsheets/d/1SX6NBoVAgQJ6U1MVXOaj8PK2l7WJ3RER9xtqwdhxkhw/edit?usp=sharing"",""ระยอง!M498"")"),0)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IFERROR(__xludf.DUMMYFUNCTION("IMPORTRANGE(""https://docs.google.com/spreadsheets/d/1SX6NBoVAgQJ6U1MVXOaj8PK2l7WJ3RER9xtqwdhxkhw/edit?usp=sharing"",""ระยอง!M499"")"),0)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IFERROR(__xludf.DUMMYFUNCTION("IMPORTRANGE(""https://docs.google.com/spreadsheets/d/1SX6NBoVAgQJ6U1MVXOaj8PK2l7WJ3RER9xtqwdhxkhw/edit?usp=sharing"",""ระยอง!M500"")"),1300)</f>
        <v>1300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IFERROR(__xludf.DUMMYFUNCTION("IMPORTRANGE(""https://docs.google.com/spreadsheets/d/1SX6NBoVAgQJ6U1MVXOaj8PK2l7WJ3RER9xtqwdhxkhw/edit?usp=sharing"",""ระยอง!J502"")"),0)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IFERROR(__xludf.DUMMYFUNCTION("IMPORTRANGE(""https://docs.google.com/spreadsheets/d/1SX6NBoVAgQJ6U1MVXOaj8PK2l7WJ3RER9xtqwdhxkhw/edit?usp=sharing"",""ระยอง!J503"")"),1)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IFERROR(__xludf.DUMMYFUNCTION("IMPORTRANGE(""https://docs.google.com/spreadsheets/d/1SX6NBoVAgQJ6U1MVXOaj8PK2l7WJ3RER9xtqwdhxkhw/edit?usp=sharing"",""ระยอง!J166"")"),0)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IFERROR(__xludf.DUMMYFUNCTION("IMPORTRANGE(""https://docs.google.com/spreadsheets/d/1SX6NBoVAgQJ6U1MVXOaj8PK2l7WJ3RER9xtqwdhxkhw/edit?usp=sharing"",""ระยอง!J166"")"),0)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IFERROR(__xludf.DUMMYFUNCTION("IMPORTRANGE(""https://docs.google.com/spreadsheets/d/1SX6NBoVAgQJ6U1MVXOaj8PK2l7WJ3RER9xtqwdhxkhw/edit?usp=sharing"",""ระยอง!I506"")"),50)</f>
        <v>50</v>
      </c>
      <c r="J611" s="162">
        <f ca="1">IFERROR(__xludf.DUMMYFUNCTION("IMPORTRANGE(""https://docs.google.com/spreadsheets/d/1SX6NBoVAgQJ6U1MVXOaj8PK2l7WJ3RER9xtqwdhxkhw/edit?usp=sharing"",""ระยอง!J506"")"),0)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IFERROR(__xludf.DUMMYFUNCTION("IMPORTRANGE(""https://docs.google.com/spreadsheets/d/1SX6NBoVAgQJ6U1MVXOaj8PK2l7WJ3RER9xtqwdhxkhw/edit?usp=sharing"",""ระยอง!I507"")"),0)</f>
        <v>0</v>
      </c>
      <c r="J612" s="198">
        <f ca="1">IFERROR(__xludf.DUMMYFUNCTION("IMPORTRANGE(""https://docs.google.com/spreadsheets/d/1SX6NBoVAgQJ6U1MVXOaj8PK2l7WJ3RER9xtqwdhxkhw/edit?usp=sharing"",""ระยอง!J507"")"),0)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IFERROR(__xludf.DUMMYFUNCTION("IMPORTRANGE(""https://docs.google.com/spreadsheets/d/1SX6NBoVAgQJ6U1MVXOaj8PK2l7WJ3RER9xtqwdhxkhw/edit?usp=sharing"",""ระยอง!I508"")"),0)</f>
        <v>0</v>
      </c>
      <c r="J613" s="198">
        <f ca="1">IFERROR(__xludf.DUMMYFUNCTION("IMPORTRANGE(""https://docs.google.com/spreadsheets/d/1SX6NBoVAgQJ6U1MVXOaj8PK2l7WJ3RER9xtqwdhxkhw/edit?usp=sharing"",""ระยอง!J508"")"),0)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IFERROR(__xludf.DUMMYFUNCTION("IMPORTRANGE(""https://docs.google.com/spreadsheets/d/1SX6NBoVAgQJ6U1MVXOaj8PK2l7WJ3RER9xtqwdhxkhw/edit?usp=sharing"",""ระยอง!I509"")"),0)</f>
        <v>0</v>
      </c>
      <c r="J614" s="198">
        <f ca="1">IFERROR(__xludf.DUMMYFUNCTION("IMPORTRANGE(""https://docs.google.com/spreadsheets/d/1SX6NBoVAgQJ6U1MVXOaj8PK2l7WJ3RER9xtqwdhxkhw/edit?usp=sharing"",""ระยอง!J509"")"),0)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IFERROR(__xludf.DUMMYFUNCTION("IMPORTRANGE(""https://docs.google.com/spreadsheets/d/1SX6NBoVAgQJ6U1MVXOaj8PK2l7WJ3RER9xtqwdhxkhw/edit?usp=sharing"",""ระยอง!I510"")"),0)</f>
        <v>0</v>
      </c>
      <c r="J615" s="198">
        <f ca="1">IFERROR(__xludf.DUMMYFUNCTION("IMPORTRANGE(""https://docs.google.com/spreadsheets/d/1SX6NBoVAgQJ6U1MVXOaj8PK2l7WJ3RER9xtqwdhxkhw/edit?usp=sharing"",""ระยอง!J510"")"),0)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IFERROR(__xludf.DUMMYFUNCTION("IMPORTRANGE(""https://docs.google.com/spreadsheets/d/1SX6NBoVAgQJ6U1MVXOaj8PK2l7WJ3RER9xtqwdhxkhw/edit?usp=sharing"",""ระยอง!I511"")"),0)</f>
        <v>0</v>
      </c>
      <c r="J616" s="198">
        <f ca="1">IFERROR(__xludf.DUMMYFUNCTION("IMPORTRANGE(""https://docs.google.com/spreadsheets/d/1SX6NBoVAgQJ6U1MVXOaj8PK2l7WJ3RER9xtqwdhxkhw/edit?usp=sharing"",""ระยอง!J511"")"),0)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IFERROR(__xludf.DUMMYFUNCTION("IMPORTRANGE(""https://docs.google.com/spreadsheets/d/1SX6NBoVAgQJ6U1MVXOaj8PK2l7WJ3RER9xtqwdhxkhw/edit?usp=sharing"",""ระยอง!I512"")"),0)</f>
        <v>0</v>
      </c>
      <c r="J617" s="188">
        <f ca="1">IFERROR(__xludf.DUMMYFUNCTION("IMPORTRANGE(""https://docs.google.com/spreadsheets/d/1SX6NBoVAgQJ6U1MVXOaj8PK2l7WJ3RER9xtqwdhxkhw/edit?usp=sharing"",""ระยอง!J512"")"),0)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IFERROR(__xludf.DUMMYFUNCTION("IMPORTRANGE(""https://docs.google.com/spreadsheets/d/1SX6NBoVAgQJ6U1MVXOaj8PK2l7WJ3RER9xtqwdhxkhw/edit?usp=sharing"",""ระยอง!I513"")"),0)</f>
        <v>0</v>
      </c>
      <c r="J618" s="189">
        <f ca="1">IFERROR(__xludf.DUMMYFUNCTION("IMPORTRANGE(""https://docs.google.com/spreadsheets/d/1SX6NBoVAgQJ6U1MVXOaj8PK2l7WJ3RER9xtqwdhxkhw/edit?usp=sharing"",""ระยอง!J513"")"),0)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IFERROR(__xludf.DUMMYFUNCTION("IMPORTRANGE(""https://docs.google.com/spreadsheets/d/1SX6NBoVAgQJ6U1MVXOaj8PK2l7WJ3RER9xtqwdhxkhw/edit?usp=sharing"",""ระยอง!I514"")"),0)</f>
        <v>0</v>
      </c>
      <c r="J619" s="189">
        <f ca="1">IFERROR(__xludf.DUMMYFUNCTION("IMPORTRANGE(""https://docs.google.com/spreadsheets/d/1SX6NBoVAgQJ6U1MVXOaj8PK2l7WJ3RER9xtqwdhxkhw/edit?usp=sharing"",""ระยอง!J514"")"),0)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IFERROR(__xludf.DUMMYFUNCTION("IMPORTRANGE(""https://docs.google.com/spreadsheets/d/1SX6NBoVAgQJ6U1MVXOaj8PK2l7WJ3RER9xtqwdhxkhw/edit?usp=sharing"",""ระยอง!I515"")"),0)</f>
        <v>0</v>
      </c>
      <c r="J620" s="203">
        <f ca="1">IFERROR(__xludf.DUMMYFUNCTION("IMPORTRANGE(""https://docs.google.com/spreadsheets/d/1SX6NBoVAgQJ6U1MVXOaj8PK2l7WJ3RER9xtqwdhxkhw/edit?usp=sharing"",""ระยอง!J515"")"),0)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IFERROR(__xludf.DUMMYFUNCTION("IMPORTRANGE(""https://docs.google.com/spreadsheets/d/1SX6NBoVAgQJ6U1MVXOaj8PK2l7WJ3RER9xtqwdhxkhw/edit?usp=sharing"",""ระยอง!I516"")"),0)</f>
        <v>0</v>
      </c>
      <c r="J621" s="203">
        <f ca="1">IFERROR(__xludf.DUMMYFUNCTION("IMPORTRANGE(""https://docs.google.com/spreadsheets/d/1SX6NBoVAgQJ6U1MVXOaj8PK2l7WJ3RER9xtqwdhxkhw/edit?usp=sharing"",""ระยอง!J516"")"),0)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IFERROR(__xludf.DUMMYFUNCTION("IMPORTRANGE(""https://docs.google.com/spreadsheets/d/1SX6NBoVAgQJ6U1MVXOaj8PK2l7WJ3RER9xtqwdhxkhw/edit?usp=sharing"",""ระยอง!I517"")"),0)</f>
        <v>0</v>
      </c>
      <c r="J622" s="189">
        <f ca="1">IFERROR(__xludf.DUMMYFUNCTION("IMPORTRANGE(""https://docs.google.com/spreadsheets/d/1SX6NBoVAgQJ6U1MVXOaj8PK2l7WJ3RER9xtqwdhxkhw/edit?usp=sharing"",""ระยอง!J517"")"),0)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IFERROR(__xludf.DUMMYFUNCTION("IMPORTRANGE(""https://docs.google.com/spreadsheets/d/1SX6NBoVAgQJ6U1MVXOaj8PK2l7WJ3RER9xtqwdhxkhw/edit?usp=sharing"",""ระยอง!I518"")"),0)</f>
        <v>0</v>
      </c>
      <c r="J623" s="189">
        <f ca="1">IFERROR(__xludf.DUMMYFUNCTION("IMPORTRANGE(""https://docs.google.com/spreadsheets/d/1SX6NBoVAgQJ6U1MVXOaj8PK2l7WJ3RER9xtqwdhxkhw/edit?usp=sharing"",""ระยอง!J518"")"),0)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IFERROR(__xludf.DUMMYFUNCTION("IMPORTRANGE(""https://docs.google.com/spreadsheets/d/1SX6NBoVAgQJ6U1MVXOaj8PK2l7WJ3RER9xtqwdhxkhw/edit?usp=sharing"",""ระยอง!I519"")"),0)</f>
        <v>0</v>
      </c>
      <c r="J624" s="188">
        <f ca="1">IFERROR(__xludf.DUMMYFUNCTION("IMPORTRANGE(""https://docs.google.com/spreadsheets/d/1SX6NBoVAgQJ6U1MVXOaj8PK2l7WJ3RER9xtqwdhxkhw/edit?usp=sharing"",""ระยอง!J519"")"),0)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IFERROR(__xludf.DUMMYFUNCTION("IMPORTRANGE(""https://docs.google.com/spreadsheets/d/1SX6NBoVAgQJ6U1MVXOaj8PK2l7WJ3RER9xtqwdhxkhw/edit?usp=sharing"",""ระยอง!I520"")"),0)</f>
        <v>0</v>
      </c>
      <c r="J625" s="189">
        <f ca="1">IFERROR(__xludf.DUMMYFUNCTION("IMPORTRANGE(""https://docs.google.com/spreadsheets/d/1SX6NBoVAgQJ6U1MVXOaj8PK2l7WJ3RER9xtqwdhxkhw/edit?usp=sharing"",""ระยอง!J520"")"),0)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IFERROR(__xludf.DUMMYFUNCTION("IMPORTRANGE(""https://docs.google.com/spreadsheets/d/1SX6NBoVAgQJ6U1MVXOaj8PK2l7WJ3RER9xtqwdhxkhw/edit?usp=sharing"",""ระยอง!I521"")"),0)</f>
        <v>0</v>
      </c>
      <c r="J626" s="189">
        <f ca="1">IFERROR(__xludf.DUMMYFUNCTION("IMPORTRANGE(""https://docs.google.com/spreadsheets/d/1SX6NBoVAgQJ6U1MVXOaj8PK2l7WJ3RER9xtqwdhxkhw/edit?usp=sharing"",""ระยอง!J521"")"),0)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IFERROR(__xludf.DUMMYFUNCTION("IMPORTRANGE(""https://docs.google.com/spreadsheets/d/1SX6NBoVAgQJ6U1MVXOaj8PK2l7WJ3RER9xtqwdhxkhw/edit?usp=sharing"",""ระยอง!I523"")"),2198052.65)</f>
        <v>2198052.65</v>
      </c>
      <c r="J628" s="342">
        <f ca="1">IFERROR(__xludf.DUMMYFUNCTION("IMPORTRANGE(""https://docs.google.com/spreadsheets/d/1SX6NBoVAgQJ6U1MVXOaj8PK2l7WJ3RER9xtqwdhxkhw/edit?usp=sharing"",""ระยอง!J523"")"),1642671.41)</f>
        <v>1642671.41</v>
      </c>
      <c r="K628" s="343">
        <f t="shared" ref="K628:K635" ca="1" si="129">IF(I628&gt;0,J628*100/I628,0)</f>
        <v>74.733032896186543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IFERROR(__xludf.DUMMYFUNCTION("IMPORTRANGE(""https://docs.google.com/spreadsheets/d/1SX6NBoVAgQJ6U1MVXOaj8PK2l7WJ3RER9xtqwdhxkhw/edit?usp=sharing"",""ระยอง!I524"")"),144)</f>
        <v>144</v>
      </c>
      <c r="J629" s="342">
        <f ca="1">IFERROR(__xludf.DUMMYFUNCTION("IMPORTRANGE(""https://docs.google.com/spreadsheets/d/1SX6NBoVAgQJ6U1MVXOaj8PK2l7WJ3RER9xtqwdhxkhw/edit?usp=sharing"",""ระยอง!J524"")"),104)</f>
        <v>104</v>
      </c>
      <c r="K629" s="343">
        <f t="shared" ca="1" si="129"/>
        <v>72.222222222222229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IFERROR(__xludf.DUMMYFUNCTION("IMPORTRANGE(""https://docs.google.com/spreadsheets/d/1SX6NBoVAgQJ6U1MVXOaj8PK2l7WJ3RER9xtqwdhxkhw/edit?usp=sharing"",""ระยอง!I525"")"),1625986.59)</f>
        <v>1625986.59</v>
      </c>
      <c r="J630" s="342">
        <f ca="1">IFERROR(__xludf.DUMMYFUNCTION("IMPORTRANGE(""https://docs.google.com/spreadsheets/d/1SX6NBoVAgQJ6U1MVXOaj8PK2l7WJ3RER9xtqwdhxkhw/edit?usp=sharing"",""ระยอง!J525"")"),329804.99)</f>
        <v>329804.99</v>
      </c>
      <c r="K630" s="343">
        <f t="shared" ca="1" si="129"/>
        <v>20.283376998822604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IFERROR(__xludf.DUMMYFUNCTION("IMPORTRANGE(""https://docs.google.com/spreadsheets/d/1SX6NBoVAgQJ6U1MVXOaj8PK2l7WJ3RER9xtqwdhxkhw/edit?usp=sharing"",""ระยอง!I526"")"),52)</f>
        <v>52</v>
      </c>
      <c r="J631" s="342">
        <f ca="1">IFERROR(__xludf.DUMMYFUNCTION("IMPORTRANGE(""https://docs.google.com/spreadsheets/d/1SX6NBoVAgQJ6U1MVXOaj8PK2l7WJ3RER9xtqwdhxkhw/edit?usp=sharing"",""ระยอง!J526"")"),28)</f>
        <v>28</v>
      </c>
      <c r="K631" s="343">
        <f t="shared" ca="1" si="129"/>
        <v>53.846153846153847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IFERROR(__xludf.DUMMYFUNCTION("IMPORTRANGE(""https://docs.google.com/spreadsheets/d/1SX6NBoVAgQJ6U1MVXOaj8PK2l7WJ3RER9xtqwdhxkhw/edit?usp=sharing"",""ระยอง!I527"")"),0)</f>
        <v>0</v>
      </c>
      <c r="J632" s="342">
        <f ca="1">IFERROR(__xludf.DUMMYFUNCTION("IMPORTRANGE(""https://docs.google.com/spreadsheets/d/1SX6NBoVAgQJ6U1MVXOaj8PK2l7WJ3RER9xtqwdhxkhw/edit?usp=sharing"",""ระยอง!J527"")"),0)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IFERROR(__xludf.DUMMYFUNCTION("IMPORTRANGE(""https://docs.google.com/spreadsheets/d/1SX6NBoVAgQJ6U1MVXOaj8PK2l7WJ3RER9xtqwdhxkhw/edit?usp=sharing"",""ระยอง!I528"")"),0)</f>
        <v>0</v>
      </c>
      <c r="J633" s="342">
        <f ca="1">IFERROR(__xludf.DUMMYFUNCTION("IMPORTRANGE(""https://docs.google.com/spreadsheets/d/1SX6NBoVAgQJ6U1MVXOaj8PK2l7WJ3RER9xtqwdhxkhw/edit?usp=sharing"",""ระยอง!J528"")"),0)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IFERROR(__xludf.DUMMYFUNCTION("IMPORTRANGE(""https://docs.google.com/spreadsheets/d/1SX6NBoVAgQJ6U1MVXOaj8PK2l7WJ3RER9xtqwdhxkhw/edit?usp=sharing"",""ระยอง!I529"")"),2450000)</f>
        <v>2450000</v>
      </c>
      <c r="J634" s="342">
        <f ca="1">IFERROR(__xludf.DUMMYFUNCTION("IMPORTRANGE(""https://docs.google.com/spreadsheets/d/1SX6NBoVAgQJ6U1MVXOaj8PK2l7WJ3RER9xtqwdhxkhw/edit?usp=sharing"",""ระยอง!J529"")"),1450000)</f>
        <v>1450000</v>
      </c>
      <c r="K634" s="343">
        <f t="shared" ca="1" si="129"/>
        <v>59.183673469387756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IFERROR(__xludf.DUMMYFUNCTION("IMPORTRANGE(""https://docs.google.com/spreadsheets/d/1SX6NBoVAgQJ6U1MVXOaj8PK2l7WJ3RER9xtqwdhxkhw/edit?usp=sharing"",""ระยอง!I530"")"),49)</f>
        <v>49</v>
      </c>
      <c r="J635" s="505">
        <f ca="1">IFERROR(__xludf.DUMMYFUNCTION("IMPORTRANGE(""https://docs.google.com/spreadsheets/d/1SX6NBoVAgQJ6U1MVXOaj8PK2l7WJ3RER9xtqwdhxkhw/edit?usp=sharing"",""ระยอง!J530"")"),35)</f>
        <v>35</v>
      </c>
      <c r="K635" s="487">
        <f t="shared" ca="1" si="129"/>
        <v>71.428571428571431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IFERROR(__xludf.DUMMYFUNCTION("IMPORTRANGE(""https://docs.google.com/spreadsheets/d/1SX6NBoVAgQJ6U1MVXOaj8PK2l7WJ3RER9xtqwdhxkhw/edit#gid=346597447"",""ระยอง!J541"")"),0)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IFERROR(__xludf.DUMMYFUNCTION("IMPORTRANGE(""https://docs.google.com/spreadsheets/d/1SX6NBoVAgQJ6U1MVXOaj8PK2l7WJ3RER9xtqwdhxkhw/edit#gid=346597447"",""ระยอง!J542"")"),0)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IFERROR(__xludf.DUMMYFUNCTION("IMPORTRANGE(""https://docs.google.com/spreadsheets/d/1SX6NBoVAgQJ6U1MVXOaj8PK2l7WJ3RER9xtqwdhxkhw/edit#gid=346597447"",""ระยอง!I543"")"),0)</f>
        <v>0</v>
      </c>
      <c r="J648" s="537">
        <f ca="1">IFERROR(__xludf.DUMMYFUNCTION("IMPORTRANGE(""https://docs.google.com/spreadsheets/d/1SX6NBoVAgQJ6U1MVXOaj8PK2l7WJ3RER9xtqwdhxkhw/edit#gid=346597447"",""ระยอง!J543"")"),0)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IFERROR(__xludf.DUMMYFUNCTION("IMPORTRANGE(""https://docs.google.com/spreadsheets/d/1SX6NBoVAgQJ6U1MVXOaj8PK2l7WJ3RER9xtqwdhxkhw/edit#gid=346597447"",""ระยอง!L543"")"),0)</f>
        <v>0</v>
      </c>
      <c r="M648" s="522"/>
      <c r="N648" s="539">
        <f ca="1">IFERROR(__xludf.DUMMYFUNCTION("IMPORTRANGE(""https://docs.google.com/spreadsheets/d/1SX6NBoVAgQJ6U1MVXOaj8PK2l7WJ3RER9xtqwdhxkhw/edit#gid=346597447"",""ระยอง!M543"")"),0)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IFERROR(__xludf.DUMMYFUNCTION("IMPORTRANGE(""https://docs.google.com/spreadsheets/d/1SX6NBoVAgQJ6U1MVXOaj8PK2l7WJ3RER9xtqwdhxkhw/edit#gid=346597447"",""ระยอง!I544"")"),0)</f>
        <v>0</v>
      </c>
      <c r="J649" s="537">
        <f ca="1">IFERROR(__xludf.DUMMYFUNCTION("IMPORTRANGE(""https://docs.google.com/spreadsheets/d/1SX6NBoVAgQJ6U1MVXOaj8PK2l7WJ3RER9xtqwdhxkhw/edit#gid=346597447"",""ระยอง!J544"")"),0)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IFERROR(__xludf.DUMMYFUNCTION("IMPORTRANGE(""https://docs.google.com/spreadsheets/d/1SX6NBoVAgQJ6U1MVXOaj8PK2l7WJ3RER9xtqwdhxkhw/edit#gid=346597447"",""ระยอง!L544"")"),0)</f>
        <v>0</v>
      </c>
      <c r="M649" s="522"/>
      <c r="N649" s="539">
        <f ca="1">IFERROR(__xludf.DUMMYFUNCTION("IMPORTRANGE(""https://docs.google.com/spreadsheets/d/1SX6NBoVAgQJ6U1MVXOaj8PK2l7WJ3RER9xtqwdhxkhw/edit#gid=346597447"",""ระยอง!M544"")"),0)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IFERROR(__xludf.DUMMYFUNCTION("IMPORTRANGE(""https://docs.google.com/spreadsheets/d/1SX6NBoVAgQJ6U1MVXOaj8PK2l7WJ3RER9xtqwdhxkhw/edit#gid=346597447"",""ระยอง!I545"")"),0)</f>
        <v>0</v>
      </c>
      <c r="J650" s="537">
        <f ca="1">IFERROR(__xludf.DUMMYFUNCTION("IMPORTRANGE(""https://docs.google.com/spreadsheets/d/1SX6NBoVAgQJ6U1MVXOaj8PK2l7WJ3RER9xtqwdhxkhw/edit#gid=346597447"",""ระยอง!J545"")"),0)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IFERROR(__xludf.DUMMYFUNCTION("IMPORTRANGE(""https://docs.google.com/spreadsheets/d/1SX6NBoVAgQJ6U1MVXOaj8PK2l7WJ3RER9xtqwdhxkhw/edit#gid=346597447"",""ระยอง!L545"")"),0)</f>
        <v>0</v>
      </c>
      <c r="M650" s="522"/>
      <c r="N650" s="539">
        <f ca="1">IFERROR(__xludf.DUMMYFUNCTION("IMPORTRANGE(""https://docs.google.com/spreadsheets/d/1SX6NBoVAgQJ6U1MVXOaj8PK2l7WJ3RER9xtqwdhxkhw/edit#gid=346597447"",""ระยอง!M545"")"),0)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IFERROR(__xludf.DUMMYFUNCTION("IMPORTRANGE(""https://docs.google.com/spreadsheets/d/1SX6NBoVAgQJ6U1MVXOaj8PK2l7WJ3RER9xtqwdhxkhw/edit#gid=346597447"",""ระยอง!I546"")"),0)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IFERROR(__xludf.DUMMYFUNCTION("IMPORTRANGE(""https://docs.google.com/spreadsheets/d/1SX6NBoVAgQJ6U1MVXOaj8PK2l7WJ3RER9xtqwdhxkhw/edit#gid=346597447"",""ระยอง!L546"")"),0)</f>
        <v>0</v>
      </c>
      <c r="M651" s="522"/>
      <c r="N651" s="539">
        <f ca="1">IFERROR(__xludf.DUMMYFUNCTION("IMPORTRANGE(""https://docs.google.com/spreadsheets/d/1SX6NBoVAgQJ6U1MVXOaj8PK2l7WJ3RER9xtqwdhxkhw/edit#gid=346597447"",""ระยอง!M546"")"),0)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IFERROR(__xludf.DUMMYFUNCTION("IMPORTRANGE(""https://docs.google.com/spreadsheets/d/1SX6NBoVAgQJ6U1MVXOaj8PK2l7WJ3RER9xtqwdhxkhw/edit#gid=346597447"",""ระยอง!J547"")"),0)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IFERROR(__xludf.DUMMYFUNCTION("IMPORTRANGE(""https://docs.google.com/spreadsheets/d/1SX6NBoVAgQJ6U1MVXOaj8PK2l7WJ3RER9xtqwdhxkhw/edit#gid=346597447"",""ระยอง!J548"")"),0)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IFERROR(__xludf.DUMMYFUNCTION("IMPORTRANGE(""https://docs.google.com/spreadsheets/d/1SX6NBoVAgQJ6U1MVXOaj8PK2l7WJ3RER9xtqwdhxkhw/edit#gid=346597447"",""ระยอง!J550"")"),0)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IFERROR(__xludf.DUMMYFUNCTION("IMPORTRANGE(""https://docs.google.com/spreadsheets/d/1SX6NBoVAgQJ6U1MVXOaj8PK2l7WJ3RER9xtqwdhxkhw/edit#gid=346597447"",""ระยอง!J551"")"),0)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IFERROR(__xludf.DUMMYFUNCTION("IMPORTRANGE(""https://docs.google.com/spreadsheets/d/1SX6NBoVAgQJ6U1MVXOaj8PK2l7WJ3RER9xtqwdhxkhw/edit#gid=346597447"",""ระยอง!J552"")"),0)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IFERROR(__xludf.DUMMYFUNCTION("IMPORTRANGE(""https://docs.google.com/spreadsheets/d/1SX6NBoVAgQJ6U1MVXOaj8PK2l7WJ3RER9xtqwdhxkhw/edit#gid=346597447"",""ระยอง!J553"")"),0)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IFERROR(__xludf.DUMMYFUNCTION("IMPORTRANGE(""https://docs.google.com/spreadsheets/d/1SX6NBoVAgQJ6U1MVXOaj8PK2l7WJ3RER9xtqwdhxkhw/edit#gid=346597447"",""ระยอง!J554"")"),0)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IFERROR(__xludf.DUMMYFUNCTION("IMPORTRANGE(""https://docs.google.com/spreadsheets/d/1SX6NBoVAgQJ6U1MVXOaj8PK2l7WJ3RER9xtqwdhxkhw/edit#gid=346597447"",""ระยอง!J555"")"),0)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IFERROR(__xludf.DUMMYFUNCTION("IMPORTRANGE(""https://docs.google.com/spreadsheets/d/1SX6NBoVAgQJ6U1MVXOaj8PK2l7WJ3RER9xtqwdhxkhw/edit#gid=346597447"",""ระยอง!J556"")"),0)</f>
        <v>0</v>
      </c>
      <c r="K661" s="538"/>
      <c r="L661" s="523">
        <f ca="1">IFERROR(__xludf.DUMMYFUNCTION("IMPORTRANGE(""https://docs.google.com/spreadsheets/d/1SX6NBoVAgQJ6U1MVXOaj8PK2l7WJ3RER9xtqwdhxkhw/edit#gid=346597447"",""ระยอง!L556"")"),0)</f>
        <v>0</v>
      </c>
      <c r="M661" s="522"/>
      <c r="N661" s="539">
        <f ca="1">IFERROR(__xludf.DUMMYFUNCTION("IMPORTRANGE(""https://docs.google.com/spreadsheets/d/1SX6NBoVAgQJ6U1MVXOaj8PK2l7WJ3RER9xtqwdhxkhw/edit#gid=346597447"",""ระยอง!M556"")"),0)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IFERROR(__xludf.DUMMYFUNCTION("IMPORTRANGE(""https://docs.google.com/spreadsheets/d/1SX6NBoVAgQJ6U1MVXOaj8PK2l7WJ3RER9xtqwdhxkhw/edit#gid=346597447"",""ระยอง!J557"")"),0)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IFERROR(__xludf.DUMMYFUNCTION("IMPORTRANGE(""https://docs.google.com/spreadsheets/d/1SX6NBoVAgQJ6U1MVXOaj8PK2l7WJ3RER9xtqwdhxkhw/edit#gid=346597447"",""ระยอง!I558"")"),0)</f>
        <v>0</v>
      </c>
      <c r="J663" s="537">
        <f ca="1">IFERROR(__xludf.DUMMYFUNCTION("IMPORTRANGE(""https://docs.google.com/spreadsheets/d/1SX6NBoVAgQJ6U1MVXOaj8PK2l7WJ3RER9xtqwdhxkhw/edit#gid=346597447"",""ระยอง!J558"")"),0)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IFERROR(__xludf.DUMMYFUNCTION("IMPORTRANGE(""https://docs.google.com/spreadsheets/d/1SX6NBoVAgQJ6U1MVXOaj8PK2l7WJ3RER9xtqwdhxkhw/edit#gid=346597447"",""ระยอง!I560"")"),0)</f>
        <v>0</v>
      </c>
      <c r="J665" s="537">
        <f ca="1">IFERROR(__xludf.DUMMYFUNCTION("IMPORTRANGE(""https://docs.google.com/spreadsheets/d/1SX6NBoVAgQJ6U1MVXOaj8PK2l7WJ3RER9xtqwdhxkhw/edit#gid=346597447"",""ระยอง!J560"")"),0)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IFERROR(__xludf.DUMMYFUNCTION("IMPORTRANGE(""https://docs.google.com/spreadsheets/d/1SX6NBoVAgQJ6U1MVXOaj8PK2l7WJ3RER9xtqwdhxkhw/edit#gid=346597447"",""ระยอง!L560"")"),0)</f>
        <v>0</v>
      </c>
      <c r="M665" s="522"/>
      <c r="N665" s="539">
        <f ca="1">IFERROR(__xludf.DUMMYFUNCTION("IMPORTRANGE(""https://docs.google.com/spreadsheets/d/1SX6NBoVAgQJ6U1MVXOaj8PK2l7WJ3RER9xtqwdhxkhw/edit#gid=346597447"",""ระยอง!M560"")"),0)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IFERROR(__xludf.DUMMYFUNCTION("IMPORTRANGE(""https://docs.google.com/spreadsheets/d/1SX6NBoVAgQJ6U1MVXOaj8PK2l7WJ3RER9xtqwdhxkhw/edit#gid=346597447"",""ระยอง!J561"")"),0)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IFERROR(__xludf.DUMMYFUNCTION("IMPORTRANGE(""https://docs.google.com/spreadsheets/d/1SX6NBoVAgQJ6U1MVXOaj8PK2l7WJ3RER9xtqwdhxkhw/edit#gid=346597447"",""ระยอง!J562"")"),0)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IFERROR(__xludf.DUMMYFUNCTION("IMPORTRANGE(""https://docs.google.com/spreadsheets/d/1SX6NBoVAgQJ6U1MVXOaj8PK2l7WJ3RER9xtqwdhxkhw/edit#gid=346597447"",""ระยอง!I563"")"),0)</f>
        <v>0</v>
      </c>
      <c r="J668" s="537">
        <f ca="1">IFERROR(__xludf.DUMMYFUNCTION("IMPORTRANGE(""https://docs.google.com/spreadsheets/d/1SX6NBoVAgQJ6U1MVXOaj8PK2l7WJ3RER9xtqwdhxkhw/edit#gid=346597447"",""ระยอง!J563"")"),0)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IFERROR(__xludf.DUMMYFUNCTION("IMPORTRANGE(""https://docs.google.com/spreadsheets/d/1SX6NBoVAgQJ6U1MVXOaj8PK2l7WJ3RER9xtqwdhxkhw/edit#gid=346597447"",""ระยอง!L563"")"),0)</f>
        <v>0</v>
      </c>
      <c r="M668" s="522"/>
      <c r="N668" s="539">
        <f ca="1">IFERROR(__xludf.DUMMYFUNCTION("IMPORTRANGE(""https://docs.google.com/spreadsheets/d/1SX6NBoVAgQJ6U1MVXOaj8PK2l7WJ3RER9xtqwdhxkhw/edit#gid=346597447"",""ระยอง!M563"")"),0)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IFERROR(__xludf.DUMMYFUNCTION("IMPORTRANGE(""https://docs.google.com/spreadsheets/d/1SX6NBoVAgQJ6U1MVXOaj8PK2l7WJ3RER9xtqwdhxkhw/edit#gid=346597447"",""ระยอง!J564"")"),0)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IFERROR(__xludf.DUMMYFUNCTION("IMPORTRANGE(""https://docs.google.com/spreadsheets/d/1SX6NBoVAgQJ6U1MVXOaj8PK2l7WJ3RER9xtqwdhxkhw/edit#gid=346597447"",""ระยอง!J565"")"),0)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IFERROR(__xludf.DUMMYFUNCTION("IMPORTRANGE(""https://docs.google.com/spreadsheets/d/1SX6NBoVAgQJ6U1MVXOaj8PK2l7WJ3RER9xtqwdhxkhw/edit#gid=346597447"",""ระยอง!I566"")"),0)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IFERROR(__xludf.DUMMYFUNCTION("IMPORTRANGE(""https://docs.google.com/spreadsheets/d/1SX6NBoVAgQJ6U1MVXOaj8PK2l7WJ3RER9xtqwdhxkhw/edit#gid=346597447"",""ระยอง!L566"")"),0)</f>
        <v>0</v>
      </c>
      <c r="M671" s="522"/>
      <c r="N671" s="539">
        <f ca="1">IFERROR(__xludf.DUMMYFUNCTION("IMPORTRANGE(""https://docs.google.com/spreadsheets/d/1SX6NBoVAgQJ6U1MVXOaj8PK2l7WJ3RER9xtqwdhxkhw/edit#gid=346597447"",""ระยอง!M566"")"),0)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IFERROR(__xludf.DUMMYFUNCTION("IMPORTRANGE(""https://docs.google.com/spreadsheets/d/1SX6NBoVAgQJ6U1MVXOaj8PK2l7WJ3RER9xtqwdhxkhw/edit#gid=346597447"",""ระยอง!J567"")"),0)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IFERROR(__xludf.DUMMYFUNCTION("IMPORTRANGE(""https://docs.google.com/spreadsheets/d/1SX6NBoVAgQJ6U1MVXOaj8PK2l7WJ3RER9xtqwdhxkhw/edit#gid=346597447"",""ระยอง!J568"")"),0)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IFERROR(__xludf.DUMMYFUNCTION("IMPORTRANGE(""https://docs.google.com/spreadsheets/d/1SX6NBoVAgQJ6U1MVXOaj8PK2l7WJ3RER9xtqwdhxkhw/edit#gid=346597447"",""ระยอง!J569"")"),0)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IFERROR(__xludf.DUMMYFUNCTION("IMPORTRANGE(""https://docs.google.com/spreadsheets/d/1SX6NBoVAgQJ6U1MVXOaj8PK2l7WJ3RER9xtqwdhxkhw/edit#gid=346597447"",""ระยอง!J570"")"),0)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IFERROR(__xludf.DUMMYFUNCTION("IMPORTRANGE(""https://docs.google.com/spreadsheets/d/1SX6NBoVAgQJ6U1MVXOaj8PK2l7WJ3RER9xtqwdhxkhw/edit#gid=346597447"",""ระยอง!J571"")"),0)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IFERROR(__xludf.DUMMYFUNCTION("IMPORTRANGE(""https://docs.google.com/spreadsheets/d/1SX6NBoVAgQJ6U1MVXOaj8PK2l7WJ3RER9xtqwdhxkhw/edit#gid=346597447"",""ระยอง!J572"")"),0)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288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3820737</v>
      </c>
      <c r="M8" s="23">
        <f t="shared" ca="1" si="0"/>
        <v>2385083</v>
      </c>
      <c r="N8" s="23">
        <f t="shared" ca="1" si="0"/>
        <v>2860646.2</v>
      </c>
      <c r="O8" s="22">
        <f t="shared" ref="O8:O16" ca="1" si="1">IF(L8&gt;0,N8*100/L8,0)</f>
        <v>74.871581058837606</v>
      </c>
      <c r="P8" s="22">
        <f t="shared" ref="P8:P16" ca="1" si="2">IF(M8&gt;0,N8*100/M8,0)</f>
        <v>119.93906291730728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3820737</v>
      </c>
      <c r="M10" s="30">
        <f t="shared" ca="1" si="4"/>
        <v>2385083</v>
      </c>
      <c r="N10" s="30">
        <f t="shared" ca="1" si="4"/>
        <v>2860646.2</v>
      </c>
      <c r="O10" s="29">
        <f t="shared" ca="1" si="1"/>
        <v>74.871581058837606</v>
      </c>
      <c r="P10" s="29">
        <f t="shared" ca="1" si="2"/>
        <v>119.93906291730728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3601437</v>
      </c>
      <c r="M12" s="38">
        <f t="shared" ca="1" si="6"/>
        <v>2165783</v>
      </c>
      <c r="N12" s="38">
        <f t="shared" ca="1" si="6"/>
        <v>2641346.2000000002</v>
      </c>
      <c r="O12" s="38">
        <f t="shared" ca="1" si="1"/>
        <v>73.341452314728826</v>
      </c>
      <c r="P12" s="38">
        <f t="shared" ca="1" si="2"/>
        <v>121.95802626578934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1326800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2274637</v>
      </c>
      <c r="M14" s="38">
        <f t="shared" si="8"/>
        <v>0</v>
      </c>
      <c r="N14" s="38">
        <f t="shared" ca="1" si="8"/>
        <v>879376.95</v>
      </c>
      <c r="O14" s="38">
        <f t="shared" ca="1" si="1"/>
        <v>38.660100490759625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219300</v>
      </c>
      <c r="M16" s="38">
        <f t="shared" ca="1" si="10"/>
        <v>219300</v>
      </c>
      <c r="N16" s="38">
        <f t="shared" ca="1" si="10"/>
        <v>219300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2224205</v>
      </c>
      <c r="M18" s="23">
        <f t="shared" ca="1" si="11"/>
        <v>2385083</v>
      </c>
      <c r="N18" s="23">
        <f t="shared" ca="1" si="11"/>
        <v>1981269.25</v>
      </c>
      <c r="O18" s="22">
        <f t="shared" ref="O18:O20" ca="1" si="12">IF(L18&gt;0,N18*100/L18,0)</f>
        <v>89.077636728628875</v>
      </c>
      <c r="P18" s="22">
        <f t="shared" ref="P18:P26" ca="1" si="13">IF(M18&gt;0,N18*100/M18,0)</f>
        <v>83.069195076230045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2224205</v>
      </c>
      <c r="M20" s="30">
        <f t="shared" ca="1" si="15"/>
        <v>2385083</v>
      </c>
      <c r="N20" s="30">
        <f t="shared" ca="1" si="15"/>
        <v>1981269.25</v>
      </c>
      <c r="O20" s="29">
        <f t="shared" ca="1" si="12"/>
        <v>89.077636728628875</v>
      </c>
      <c r="P20" s="29">
        <f t="shared" ca="1" si="13"/>
        <v>83.069195076230045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2004905</v>
      </c>
      <c r="M22" s="41">
        <f t="shared" ca="1" si="18"/>
        <v>2165783</v>
      </c>
      <c r="N22" s="38">
        <f t="shared" ca="1" si="18"/>
        <v>1761969.25</v>
      </c>
      <c r="O22" s="38">
        <f t="shared" ca="1" si="17"/>
        <v>87.882929615118925</v>
      </c>
      <c r="P22" s="38">
        <f t="shared" ca="1" si="13"/>
        <v>81.354837950062404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1326800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678105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219300</v>
      </c>
      <c r="M26" s="49">
        <f t="shared" ca="1" si="22"/>
        <v>219300</v>
      </c>
      <c r="N26" s="49">
        <f t="shared" ca="1" si="22"/>
        <v>219300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1596532</v>
      </c>
      <c r="M28" s="23">
        <f t="shared" si="23"/>
        <v>0</v>
      </c>
      <c r="N28" s="23">
        <f t="shared" ca="1" si="23"/>
        <v>879376.95</v>
      </c>
      <c r="O28" s="22">
        <f t="shared" ref="O28:O30" ca="1" si="24">IF(L28&gt;0,N28*100/L28,0)</f>
        <v>55.080446242230032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1596532</v>
      </c>
      <c r="M30" s="30">
        <f t="shared" si="27"/>
        <v>0</v>
      </c>
      <c r="N30" s="30">
        <f t="shared" ca="1" si="27"/>
        <v>879376.95</v>
      </c>
      <c r="O30" s="29">
        <f t="shared" ca="1" si="24"/>
        <v>55.080446242230032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1596532</v>
      </c>
      <c r="M32" s="38">
        <f t="shared" si="30"/>
        <v>0</v>
      </c>
      <c r="N32" s="38">
        <f t="shared" ca="1" si="30"/>
        <v>879376.95</v>
      </c>
      <c r="O32" s="38">
        <f t="shared" ca="1" si="29"/>
        <v>55.080446242230032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1596532</v>
      </c>
      <c r="M34" s="38">
        <f t="shared" si="32"/>
        <v>0</v>
      </c>
      <c r="N34" s="38">
        <f t="shared" ca="1" si="32"/>
        <v>879376.95</v>
      </c>
      <c r="O34" s="38">
        <f t="shared" ca="1" si="29"/>
        <v>55.080446242230032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2224205</v>
      </c>
      <c r="M37" s="54">
        <f t="shared" ca="1" si="33"/>
        <v>2385083</v>
      </c>
      <c r="N37" s="54">
        <f t="shared" ca="1" si="33"/>
        <v>1981269.25</v>
      </c>
      <c r="O37" s="55">
        <f t="shared" ca="1" si="29"/>
        <v>89.077636728628875</v>
      </c>
      <c r="P37" s="55">
        <f t="shared" ca="1" si="25"/>
        <v>83.069195076230045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502365</v>
      </c>
      <c r="N41" s="78">
        <f t="shared" ca="1" si="34"/>
        <v>458786.78</v>
      </c>
      <c r="O41" s="77">
        <f t="shared" ref="O41:O43" ca="1" si="35">IF(L41&gt;0,N41*100/L41,0)</f>
        <v>138.69007859733978</v>
      </c>
      <c r="P41" s="77">
        <f t="shared" ref="P41:P43" ca="1" si="36">IF(M41&gt;0,N41*100/M41,0)</f>
        <v>91.325386919869018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502365</v>
      </c>
      <c r="N43" s="78">
        <f t="shared" ca="1" si="38"/>
        <v>458786.78</v>
      </c>
      <c r="O43" s="77">
        <f t="shared" ca="1" si="35"/>
        <v>138.69007859733978</v>
      </c>
      <c r="P43" s="77">
        <f t="shared" ca="1" si="36"/>
        <v>91.325386919869018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330800</v>
      </c>
      <c r="M45" s="49">
        <f ca="1">IFERROR(__xludf.DUMMYFUNCTION("IMPORTRANGE(""https://docs.google.com/spreadsheets/d/1Yj_ptqi66GCucihVvJfMjLAmec39IyEx_6qawtMGysU/edit?usp=sharing"",""สบก!Q73"")"),502365)</f>
        <v>502365</v>
      </c>
      <c r="N45" s="49">
        <f ca="1">IFERROR(__xludf.DUMMYFUNCTION("IMPORTRANGE(""https://docs.google.com/spreadsheets/d/1Yj_ptqi66GCucihVvJfMjLAmec39IyEx_6qawtMGysU/edit?usp=sharing"",""สบก!R73"")"),458786.78)</f>
        <v>458786.78</v>
      </c>
      <c r="O45" s="38">
        <f ca="1">IF(L45&gt;0,N45*100/L45,0)</f>
        <v>138.69007859733978</v>
      </c>
      <c r="P45" s="38">
        <f ca="1">IF(M45&gt;0,N45*100/M45,0)</f>
        <v>91.325386919869018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IFERROR(__xludf.DUMMYFUNCTION("IMPORTRANGE(""https://docs.google.com/spreadsheets/d/1Yj_ptqi66GCucihVvJfMjLAmec39IyEx_6qawtMGysU/edit?usp=sharing"",""สบก!M73"")"),330800)</f>
        <v>330800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IFERROR(__xludf.DUMMYFUNCTION("IMPORTRANGE(""https://docs.google.com/spreadsheets/d/1Yj_ptqi66GCucihVvJfMjLAmec39IyEx_6qawtMGysU/edit?usp=sharing"",""สบก!O73"")"),0)</f>
        <v>0</v>
      </c>
      <c r="M49" s="49"/>
      <c r="N49" s="49">
        <f ca="1">IFERROR(__xludf.DUMMYFUNCTION("IMPORTRANGE(""https://docs.google.com/spreadsheets/d/1Yj_ptqi66GCucihVvJfMjLAmec39IyEx_6qawtMGysU/edit?usp=sharing"",""สบก!S73"")"),0)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313613</v>
      </c>
      <c r="N53" s="121">
        <f t="shared" ca="1" si="39"/>
        <v>302073.65999999997</v>
      </c>
      <c r="O53" s="120">
        <f t="shared" ref="O53:O55" ca="1" si="40">IF(L53&gt;0,N53*100/L53,0)</f>
        <v>100.69121999999999</v>
      </c>
      <c r="P53" s="120">
        <f t="shared" ref="P53:P55" ca="1" si="41">IF(M53&gt;0,N53*100/M53,0)</f>
        <v>96.320516050036176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313613</v>
      </c>
      <c r="N55" s="121">
        <f t="shared" ca="1" si="43"/>
        <v>302073.65999999997</v>
      </c>
      <c r="O55" s="120">
        <f t="shared" ca="1" si="40"/>
        <v>100.69121999999999</v>
      </c>
      <c r="P55" s="120">
        <f t="shared" ca="1" si="41"/>
        <v>96.320516050036176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IFERROR(__xludf.DUMMYFUNCTION("IMPORTRANGE(""https://docs.google.com/spreadsheets/d/1Yj_ptqi66GCucihVvJfMjLAmec39IyEx_6qawtMGysU/edit?usp=sharing"",""สบก!Z73"")"),313613)</f>
        <v>313613</v>
      </c>
      <c r="N57" s="49">
        <f ca="1">IFERROR(__xludf.DUMMYFUNCTION("IMPORTRANGE(""https://docs.google.com/spreadsheets/d/1Yj_ptqi66GCucihVvJfMjLAmec39IyEx_6qawtMGysU/edit?usp=sharing"",""สบก!AA73"")"),302073.66)</f>
        <v>302073.65999999997</v>
      </c>
      <c r="O57" s="38">
        <f ca="1">IF(L57&gt;0,N57*100/L57,0)</f>
        <v>100.69121999999999</v>
      </c>
      <c r="P57" s="38">
        <f ca="1">IF(M57&gt;0,N57*100/M57,0)</f>
        <v>96.320516050036176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IFERROR(__xludf.DUMMYFUNCTION("IMPORTRANGE(""https://docs.google.com/spreadsheets/d/1Yj_ptqi66GCucihVvJfMjLAmec39IyEx_6qawtMGysU/edit?usp=sharing"",""สบก!V73"")"),300000)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IFERROR(__xludf.DUMMYFUNCTION("IMPORTRANGE(""https://docs.google.com/spreadsheets/d/1Yj_ptqi66GCucihVvJfMjLAmec39IyEx_6qawtMGysU/edit?usp=sharing"",""สบก!X73"")"),0)</f>
        <v>0</v>
      </c>
      <c r="M61" s="49"/>
      <c r="N61" s="49">
        <f ca="1">IFERROR(__xludf.DUMMYFUNCTION("IMPORTRANGE(""https://docs.google.com/spreadsheets/d/1Yj_ptqi66GCucihVvJfMjLAmec39IyEx_6qawtMGysU/edit?usp=sharing"",""สบก!AB73"")"),0)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IFERROR(__xludf.DUMMYFUNCTION("IMPORTRANGE(""https://docs.google.com/spreadsheets/d/1SX6NBoVAgQJ6U1MVXOaj8PK2l7WJ3RER9xtqwdhxkhw/edit?usp=sharing"",""ราชบุรี!I9"")"),0)</f>
        <v>0</v>
      </c>
      <c r="J64" s="142">
        <f ca="1">IFERROR(__xludf.DUMMYFUNCTION("IMPORTRANGE(""https://docs.google.com/spreadsheets/d/1SX6NBoVAgQJ6U1MVXOaj8PK2l7WJ3RER9xtqwdhxkhw/edit?usp=sharing"",""ราชบุรี!J9"")"),0)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IFERROR(__xludf.DUMMYFUNCTION("IMPORTRANGE(""https://docs.google.com/spreadsheets/d/1SX6NBoVAgQJ6U1MVXOaj8PK2l7WJ3RER9xtqwdhxkhw/edit?usp=sharing"",""ราชบุรี!I10"")"),0)</f>
        <v>0</v>
      </c>
      <c r="J65" s="142">
        <f ca="1">IFERROR(__xludf.DUMMYFUNCTION("IMPORTRANGE(""https://docs.google.com/spreadsheets/d/1SX6NBoVAgQJ6U1MVXOaj8PK2l7WJ3RER9xtqwdhxkhw/edit?usp=sharing"",""ราชบุรี!J10"")"),0)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IFERROR(__xludf.DUMMYFUNCTION("IMPORTRANGE(""https://docs.google.com/spreadsheets/d/1Yj_ptqi66GCucihVvJfMjLAmec39IyEx_6qawtMGysU/edit?usp=sharing"",""สบก!AI73"")"),0)</f>
        <v>0</v>
      </c>
      <c r="N70" s="169">
        <f ca="1">IFERROR(__xludf.DUMMYFUNCTION("IMPORTRANGE(""https://docs.google.com/spreadsheets/d/1Yj_ptqi66GCucihVvJfMjLAmec39IyEx_6qawtMGysU/edit?usp=sharing"",""สบก!AJ73"")"),0)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IFERROR(__xludf.DUMMYFUNCTION("IMPORTRANGE(""https://docs.google.com/spreadsheets/d/1Yj_ptqi66GCucihVvJfMjLAmec39IyEx_6qawtMGysU/edit?usp=sharing"",""สบก!AG73"")"),0)</f>
        <v>0</v>
      </c>
      <c r="M74" s="49"/>
      <c r="N74" s="49">
        <f ca="1">IFERROR(__xludf.DUMMYFUNCTION("IMPORTRANGE(""https://docs.google.com/spreadsheets/d/1Yj_ptqi66GCucihVvJfMjLAmec39IyEx_6qawtMGysU/edit?usp=sharing"",""สบก!AK73"")"),0)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IFERROR(__xludf.DUMMYFUNCTION("IMPORTRANGE(""https://docs.google.com/spreadsheets/d/1SX6NBoVAgQJ6U1MVXOaj8PK2l7WJ3RER9xtqwdhxkhw/edit?usp=sharing"",""ราชบุรี!J16"")"),0)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IFERROR(__xludf.DUMMYFUNCTION("IMPORTRANGE(""https://docs.google.com/spreadsheets/d/1SX6NBoVAgQJ6U1MVXOaj8PK2l7WJ3RER9xtqwdhxkhw/edit?usp=sharing"",""ราชบุรี!J17"")"),0)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IFERROR(__xludf.DUMMYFUNCTION("IMPORTRANGE(""https://docs.google.com/spreadsheets/d/1SX6NBoVAgQJ6U1MVXOaj8PK2l7WJ3RER9xtqwdhxkhw/edit?usp=sharing"",""ราชบุรี!J18"")"),0)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IFERROR(__xludf.DUMMYFUNCTION("IMPORTRANGE(""https://docs.google.com/spreadsheets/d/1SX6NBoVAgQJ6U1MVXOaj8PK2l7WJ3RER9xtqwdhxkhw/edit?usp=sharing"",""ราชบุรี!J19"")"),0)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IFERROR(__xludf.DUMMYFUNCTION("IMPORTRANGE(""https://docs.google.com/spreadsheets/d/1SX6NBoVAgQJ6U1MVXOaj8PK2l7WJ3RER9xtqwdhxkhw/edit?usp=sharing"",""ราชบุรี!I20"")"),0)</f>
        <v>0</v>
      </c>
      <c r="J80" s="201">
        <f ca="1">IFERROR(__xludf.DUMMYFUNCTION("IMPORTRANGE(""https://docs.google.com/spreadsheets/d/1SX6NBoVAgQJ6U1MVXOaj8PK2l7WJ3RER9xtqwdhxkhw/edit?usp=sharing"",""ราชบุรี!J20"")"),0)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IFERROR(__xludf.DUMMYFUNCTION("IMPORTRANGE(""https://docs.google.com/spreadsheets/d/1SX6NBoVAgQJ6U1MVXOaj8PK2l7WJ3RER9xtqwdhxkhw/edit?usp=sharing"",""ราชบุรี!I21"")"),0)</f>
        <v>0</v>
      </c>
      <c r="J81" s="201">
        <f ca="1">IFERROR(__xludf.DUMMYFUNCTION("IMPORTRANGE(""https://docs.google.com/spreadsheets/d/1SX6NBoVAgQJ6U1MVXOaj8PK2l7WJ3RER9xtqwdhxkhw/edit?usp=sharing"",""ราชบุรี!J21"")"),0)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IFERROR(__xludf.DUMMYFUNCTION("IMPORTRANGE(""https://docs.google.com/spreadsheets/d/1SX6NBoVAgQJ6U1MVXOaj8PK2l7WJ3RER9xtqwdhxkhw/edit?usp=sharing"",""ราชบุรี!I22"")"),0)</f>
        <v>0</v>
      </c>
      <c r="J82" s="204">
        <f ca="1">IFERROR(__xludf.DUMMYFUNCTION("IMPORTRANGE(""https://docs.google.com/spreadsheets/d/1SX6NBoVAgQJ6U1MVXOaj8PK2l7WJ3RER9xtqwdhxkhw/edit?usp=sharing"",""ราชบุรี!J22"")"),0)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IFERROR(__xludf.DUMMYFUNCTION("IMPORTRANGE(""https://docs.google.com/spreadsheets/d/1SX6NBoVAgQJ6U1MVXOaj8PK2l7WJ3RER9xtqwdhxkhw/edit?usp=sharing"",""ราชบุรี!I23"")"),0)</f>
        <v>0</v>
      </c>
      <c r="J83" s="204">
        <f ca="1">IFERROR(__xludf.DUMMYFUNCTION("IMPORTRANGE(""https://docs.google.com/spreadsheets/d/1SX6NBoVAgQJ6U1MVXOaj8PK2l7WJ3RER9xtqwdhxkhw/edit?usp=sharing"",""ราชบุรี!J23"")"),0)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IFERROR(__xludf.DUMMYFUNCTION("IMPORTRANGE(""https://docs.google.com/spreadsheets/d/1SX6NBoVAgQJ6U1MVXOaj8PK2l7WJ3RER9xtqwdhxkhw/edit?usp=sharing"",""ราชบุรี!I24"")"),0)</f>
        <v>0</v>
      </c>
      <c r="J84" s="189">
        <f ca="1">IFERROR(__xludf.DUMMYFUNCTION("IMPORTRANGE(""https://docs.google.com/spreadsheets/d/1SX6NBoVAgQJ6U1MVXOaj8PK2l7WJ3RER9xtqwdhxkhw/edit?usp=sharing"",""ราชบุรี!J24"")"),0)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IFERROR(__xludf.DUMMYFUNCTION("IMPORTRANGE(""https://docs.google.com/spreadsheets/d/1SX6NBoVAgQJ6U1MVXOaj8PK2l7WJ3RER9xtqwdhxkhw/edit?usp=sharing"",""ราชบุรี!I25"")"),0)</f>
        <v>0</v>
      </c>
      <c r="J85" s="189">
        <f ca="1">IFERROR(__xludf.DUMMYFUNCTION("IMPORTRANGE(""https://docs.google.com/spreadsheets/d/1SX6NBoVAgQJ6U1MVXOaj8PK2l7WJ3RER9xtqwdhxkhw/edit?usp=sharing"",""ราชบุรี!J25"")"),0)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IFERROR(__xludf.DUMMYFUNCTION("IMPORTRANGE(""https://docs.google.com/spreadsheets/d/1SX6NBoVAgQJ6U1MVXOaj8PK2l7WJ3RER9xtqwdhxkhw/edit?usp=sharing"",""ราชบุรี!I26"")"),0)</f>
        <v>0</v>
      </c>
      <c r="J86" s="204">
        <f ca="1">IFERROR(__xludf.DUMMYFUNCTION("IMPORTRANGE(""https://docs.google.com/spreadsheets/d/1SX6NBoVAgQJ6U1MVXOaj8PK2l7WJ3RER9xtqwdhxkhw/edit?usp=sharing"",""ราชบุรี!J26"")"),0)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IFERROR(__xludf.DUMMYFUNCTION("IMPORTRANGE(""https://docs.google.com/spreadsheets/d/1SX6NBoVAgQJ6U1MVXOaj8PK2l7WJ3RER9xtqwdhxkhw/edit?usp=sharing"",""ราชบุรี!I27"")"),0)</f>
        <v>0</v>
      </c>
      <c r="J87" s="204">
        <f ca="1">IFERROR(__xludf.DUMMYFUNCTION("IMPORTRANGE(""https://docs.google.com/spreadsheets/d/1SX6NBoVAgQJ6U1MVXOaj8PK2l7WJ3RER9xtqwdhxkhw/edit?usp=sharing"",""ราชบุรี!J27"")"),0)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IFERROR(__xludf.DUMMYFUNCTION("IMPORTRANGE(""https://docs.google.com/spreadsheets/d/1SX6NBoVAgQJ6U1MVXOaj8PK2l7WJ3RER9xtqwdhxkhw/edit?usp=sharing"",""ราชบุรี!I28"")"),0)</f>
        <v>0</v>
      </c>
      <c r="J88" s="204">
        <f ca="1">IFERROR(__xludf.DUMMYFUNCTION("IMPORTRANGE(""https://docs.google.com/spreadsheets/d/1SX6NBoVAgQJ6U1MVXOaj8PK2l7WJ3RER9xtqwdhxkhw/edit?usp=sharing"",""ราชบุรี!J28"")"),0)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IFERROR(__xludf.DUMMYFUNCTION("IMPORTRANGE(""https://docs.google.com/spreadsheets/d/1SX6NBoVAgQJ6U1MVXOaj8PK2l7WJ3RER9xtqwdhxkhw/edit?usp=sharing"",""ราชบุรี!J29"")"),0)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IFERROR(__xludf.DUMMYFUNCTION("IMPORTRANGE(""https://docs.google.com/spreadsheets/d/1SX6NBoVAgQJ6U1MVXOaj8PK2l7WJ3RER9xtqwdhxkhw/edit?usp=sharing"",""ราชบุรี!J30"")"),0)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IFERROR(__xludf.DUMMYFUNCTION("IMPORTRANGE(""https://docs.google.com/spreadsheets/d/1SX6NBoVAgQJ6U1MVXOaj8PK2l7WJ3RER9xtqwdhxkhw/edit?usp=sharing"",""ราชบุรี!I32"")"),6)</f>
        <v>6</v>
      </c>
      <c r="J92" s="142">
        <f ca="1">IFERROR(__xludf.DUMMYFUNCTION("IMPORTRANGE(""https://docs.google.com/spreadsheets/d/1SX6NBoVAgQJ6U1MVXOaj8PK2l7WJ3RER9xtqwdhxkhw/edit?usp=sharing"",""ราชบุรี!J32"")"),6)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IFERROR(__xludf.DUMMYFUNCTION("IMPORTRANGE(""https://docs.google.com/spreadsheets/d/1SX6NBoVAgQJ6U1MVXOaj8PK2l7WJ3RER9xtqwdhxkhw/edit?usp=sharing"",""ราชบุรี!I33"")"),2)</f>
        <v>2</v>
      </c>
      <c r="J93" s="142">
        <f ca="1">IFERROR(__xludf.DUMMYFUNCTION("IMPORTRANGE(""https://docs.google.com/spreadsheets/d/1SX6NBoVAgQJ6U1MVXOaj8PK2l7WJ3RER9xtqwdhxkhw/edit?usp=sharing"",""ราชบุรี!J33"")"),2)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265765.71999999997</v>
      </c>
      <c r="O94" s="151">
        <f t="shared" ref="O94:O96" ca="1" si="53">IF(L94&gt;0,N94*100/L94,0)</f>
        <v>83.895990908516936</v>
      </c>
      <c r="P94" s="151">
        <f t="shared" ref="P94:P96" ca="1" si="54">IF(M94&gt;0,N94*100/M94,0)</f>
        <v>83.895990908516936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265765.71999999997</v>
      </c>
      <c r="O96" s="156">
        <f t="shared" ca="1" si="53"/>
        <v>83.895990908516936</v>
      </c>
      <c r="P96" s="156">
        <f t="shared" ca="1" si="54"/>
        <v>83.895990908516936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IFERROR(__xludf.DUMMYFUNCTION("IMPORTRANGE(""https://docs.google.com/spreadsheets/d/1Yj_ptqi66GCucihVvJfMjLAmec39IyEx_6qawtMGysU/edit?usp=sharing"",""สบก!AR73"")"),131980)</f>
        <v>131980</v>
      </c>
      <c r="N98" s="169">
        <f ca="1">IFERROR(__xludf.DUMMYFUNCTION("IMPORTRANGE(""https://docs.google.com/spreadsheets/d/1Yj_ptqi66GCucihVvJfMjLAmec39IyEx_6qawtMGysU/edit?usp=sharing"",""สบก!AS73"")"),80965.72)</f>
        <v>80965.72</v>
      </c>
      <c r="O98" s="169">
        <f ca="1">IF(L98&gt;0,N98*100/L98,0)</f>
        <v>61.346961660857708</v>
      </c>
      <c r="P98" s="169">
        <f ca="1">IF(M98&gt;0,N98*100/M98,0)</f>
        <v>61.346961660857708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IFERROR(__xludf.DUMMYFUNCTION("IMPORTRANGE(""https://docs.google.com/spreadsheets/d/1Yj_ptqi66GCucihVvJfMjLAmec39IyEx_6qawtMGysU/edit?usp=sharing"",""สบก!AO73"")"),131980)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IFERROR(__xludf.DUMMYFUNCTION("IMPORTRANGE(""https://docs.google.com/spreadsheets/d/1Yj_ptqi66GCucihVvJfMjLAmec39IyEx_6qawtMGysU/edit?usp=sharing"",""สบก!AP73"")"),184800)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IFERROR(__xludf.DUMMYFUNCTION("IMPORTRANGE(""https://docs.google.com/spreadsheets/d/1Yj_ptqi66GCucihVvJfMjLAmec39IyEx_6qawtMGysU/edit?usp=sharing"",""สบก!AT73"")"),184800)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IFERROR(__xludf.DUMMYFUNCTION("IMPORTRANGE(""https://docs.google.com/spreadsheets/d/1SX6NBoVAgQJ6U1MVXOaj8PK2l7WJ3RER9xtqwdhxkhw/edit?usp=sharing"",""ราชบุรี!J39"")"),0)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IFERROR(__xludf.DUMMYFUNCTION("IMPORTRANGE(""https://docs.google.com/spreadsheets/d/1SX6NBoVAgQJ6U1MVXOaj8PK2l7WJ3RER9xtqwdhxkhw/edit?usp=sharing"",""ราชบุรี!J40"")"),1)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IFERROR(__xludf.DUMMYFUNCTION("IMPORTRANGE(""https://docs.google.com/spreadsheets/d/1SX6NBoVAgQJ6U1MVXOaj8PK2l7WJ3RER9xtqwdhxkhw/edit?usp=sharing"",""ราชบุรี!J41"")"),1)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IFERROR(__xludf.DUMMYFUNCTION("IMPORTRANGE(""https://docs.google.com/spreadsheets/d/1SX6NBoVAgQJ6U1MVXOaj8PK2l7WJ3RER9xtqwdhxkhw/edit?usp=sharing"",""ราชบุรี!J42"")"),1)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IFERROR(__xludf.DUMMYFUNCTION("IMPORTRANGE(""https://docs.google.com/spreadsheets/d/1SX6NBoVAgQJ6U1MVXOaj8PK2l7WJ3RER9xtqwdhxkhw/edit?usp=sharing"",""ราชบุรี!I43"")"),1)</f>
        <v>1</v>
      </c>
      <c r="J108" s="204">
        <f ca="1">IFERROR(__xludf.DUMMYFUNCTION("IMPORTRANGE(""https://docs.google.com/spreadsheets/d/1SX6NBoVAgQJ6U1MVXOaj8PK2l7WJ3RER9xtqwdhxkhw/edit?usp=sharing"",""ราชบุรี!J43"")"),1)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IFERROR(__xludf.DUMMYFUNCTION("IMPORTRANGE(""https://docs.google.com/spreadsheets/d/1SX6NBoVAgQJ6U1MVXOaj8PK2l7WJ3RER9xtqwdhxkhw/edit?usp=sharing"",""ราชบุรี!I44"")"),6)</f>
        <v>6</v>
      </c>
      <c r="J109" s="204">
        <f ca="1">IFERROR(__xludf.DUMMYFUNCTION("IMPORTRANGE(""https://docs.google.com/spreadsheets/d/1SX6NBoVAgQJ6U1MVXOaj8PK2l7WJ3RER9xtqwdhxkhw/edit?usp=sharing"",""ราชบุรี!J44"")"),6)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IFERROR(__xludf.DUMMYFUNCTION("IMPORTRANGE(""https://docs.google.com/spreadsheets/d/1SX6NBoVAgQJ6U1MVXOaj8PK2l7WJ3RER9xtqwdhxkhw/edit?usp=sharing"",""ราชบุรี!I45"")"),6)</f>
        <v>6</v>
      </c>
      <c r="J110" s="204">
        <f ca="1">IFERROR(__xludf.DUMMYFUNCTION("IMPORTRANGE(""https://docs.google.com/spreadsheets/d/1SX6NBoVAgQJ6U1MVXOaj8PK2l7WJ3RER9xtqwdhxkhw/edit?usp=sharing"",""ราชบุรี!J45"")"),6)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IFERROR(__xludf.DUMMYFUNCTION("IMPORTRANGE(""https://docs.google.com/spreadsheets/d/1SX6NBoVAgQJ6U1MVXOaj8PK2l7WJ3RER9xtqwdhxkhw/edit?usp=sharing"",""ราชบุรี!I46"")"),6)</f>
        <v>6</v>
      </c>
      <c r="J111" s="204">
        <f ca="1">IFERROR(__xludf.DUMMYFUNCTION("IMPORTRANGE(""https://docs.google.com/spreadsheets/d/1SX6NBoVAgQJ6U1MVXOaj8PK2l7WJ3RER9xtqwdhxkhw/edit?usp=sharing"",""ราชบุรี!J46"")"),6)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IFERROR(__xludf.DUMMYFUNCTION("IMPORTRANGE(""https://docs.google.com/spreadsheets/d/1SX6NBoVAgQJ6U1MVXOaj8PK2l7WJ3RER9xtqwdhxkhw/edit?usp=sharing"",""ราชบุรี!I47"")"),6)</f>
        <v>6</v>
      </c>
      <c r="J112" s="204">
        <f ca="1">IFERROR(__xludf.DUMMYFUNCTION("IMPORTRANGE(""https://docs.google.com/spreadsheets/d/1SX6NBoVAgQJ6U1MVXOaj8PK2l7WJ3RER9xtqwdhxkhw/edit?usp=sharing"",""ราชบุรี!J47"")"),6)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IFERROR(__xludf.DUMMYFUNCTION("IMPORTRANGE(""https://docs.google.com/spreadsheets/d/1SX6NBoVAgQJ6U1MVXOaj8PK2l7WJ3RER9xtqwdhxkhw/edit?usp=sharing"",""ราชบุรี!I48"")"),2)</f>
        <v>2</v>
      </c>
      <c r="J113" s="204">
        <f ca="1">IFERROR(__xludf.DUMMYFUNCTION("IMPORTRANGE(""https://docs.google.com/spreadsheets/d/1SX6NBoVAgQJ6U1MVXOaj8PK2l7WJ3RER9xtqwdhxkhw/edit?usp=sharing"",""ราชบุรี!J48"")"),2)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IFERROR(__xludf.DUMMYFUNCTION("IMPORTRANGE(""https://docs.google.com/spreadsheets/d/1SX6NBoVAgQJ6U1MVXOaj8PK2l7WJ3RER9xtqwdhxkhw/edit?usp=sharing"",""ราชบุรี!J49"")"),0)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IFERROR(__xludf.DUMMYFUNCTION("IMPORTRANGE(""https://docs.google.com/spreadsheets/d/1SX6NBoVAgQJ6U1MVXOaj8PK2l7WJ3RER9xtqwdhxkhw/edit?usp=sharing"",""ราชบุรี!J50"")"),0)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IFERROR(__xludf.DUMMYFUNCTION("IMPORTRANGE(""https://docs.google.com/spreadsheets/d/1SX6NBoVAgQJ6U1MVXOaj8PK2l7WJ3RER9xtqwdhxkhw/edit?usp=sharing"",""ราชบุรี!I52"")"),0)</f>
        <v>0</v>
      </c>
      <c r="J117" s="142">
        <f ca="1">IFERROR(__xludf.DUMMYFUNCTION("IMPORTRANGE(""https://docs.google.com/spreadsheets/d/1SX6NBoVAgQJ6U1MVXOaj8PK2l7WJ3RER9xtqwdhxkhw/edit?usp=sharing"",""ราชบุรี!J52"")"),0)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IFERROR(__xludf.DUMMYFUNCTION("IMPORTRANGE(""https://docs.google.com/spreadsheets/d/1Yj_ptqi66GCucihVvJfMjLAmec39IyEx_6qawtMGysU/edit?usp=sharing"",""สบก!BA73"")"),0)</f>
        <v>0</v>
      </c>
      <c r="N122" s="169">
        <f ca="1">IFERROR(__xludf.DUMMYFUNCTION("IMPORTRANGE(""https://docs.google.com/spreadsheets/d/1Yj_ptqi66GCucihVvJfMjLAmec39IyEx_6qawtMGysU/edit?usp=sharing"",""สบก!BB73"")"),0)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IFERROR(__xludf.DUMMYFUNCTION("IMPORTRANGE(""https://docs.google.com/spreadsheets/d/1Yj_ptqi66GCucihVvJfMjLAmec39IyEx_6qawtMGysU/edit?usp=sharing"",""สบก!AY73"")"),0)</f>
        <v>0</v>
      </c>
      <c r="M126" s="49"/>
      <c r="N126" s="49">
        <f ca="1">IFERROR(__xludf.DUMMYFUNCTION("IMPORTRANGE(""https://docs.google.com/spreadsheets/d/1Yj_ptqi66GCucihVvJfMjLAmec39IyEx_6qawtMGysU/edit?usp=sharing"",""สบก!BC73"")"),0)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IFERROR(__xludf.DUMMYFUNCTION("IMPORTRANGE(""https://docs.google.com/spreadsheets/d/1SX6NBoVAgQJ6U1MVXOaj8PK2l7WJ3RER9xtqwdhxkhw/edit?usp=sharing"",""ราชบุรี!J58"")"),0)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IFERROR(__xludf.DUMMYFUNCTION("IMPORTRANGE(""https://docs.google.com/spreadsheets/d/1SX6NBoVAgQJ6U1MVXOaj8PK2l7WJ3RER9xtqwdhxkhw/edit?usp=sharing"",""ราชบุรี!J59"")"),0)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IFERROR(__xludf.DUMMYFUNCTION("IMPORTRANGE(""https://docs.google.com/spreadsheets/d/1SX6NBoVAgQJ6U1MVXOaj8PK2l7WJ3RER9xtqwdhxkhw/edit?usp=sharing"",""ราชบุรี!J60"")"),0)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IFERROR(__xludf.DUMMYFUNCTION("IMPORTRANGE(""https://docs.google.com/spreadsheets/d/1SX6NBoVAgQJ6U1MVXOaj8PK2l7WJ3RER9xtqwdhxkhw/edit?usp=sharing"",""ราชบุรี!J61"")"),0)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IFERROR(__xludf.DUMMYFUNCTION("IMPORTRANGE(""https://docs.google.com/spreadsheets/d/1SX6NBoVAgQJ6U1MVXOaj8PK2l7WJ3RER9xtqwdhxkhw/edit?usp=sharing"",""ราชบุรี!I62"")"),0)</f>
        <v>0</v>
      </c>
      <c r="J132" s="204">
        <f ca="1">IFERROR(__xludf.DUMMYFUNCTION("IMPORTRANGE(""https://docs.google.com/spreadsheets/d/1SX6NBoVAgQJ6U1MVXOaj8PK2l7WJ3RER9xtqwdhxkhw/edit?usp=sharing"",""ราชบุรี!J62"")"),0)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IFERROR(__xludf.DUMMYFUNCTION("IMPORTRANGE(""https://docs.google.com/spreadsheets/d/1SX6NBoVAgQJ6U1MVXOaj8PK2l7WJ3RER9xtqwdhxkhw/edit?usp=sharing"",""ราชบุรี!I63"")"),0)</f>
        <v>0</v>
      </c>
      <c r="J133" s="204">
        <f ca="1">IFERROR(__xludf.DUMMYFUNCTION("IMPORTRANGE(""https://docs.google.com/spreadsheets/d/1SX6NBoVAgQJ6U1MVXOaj8PK2l7WJ3RER9xtqwdhxkhw/edit?usp=sharing"",""ราชบุรี!J63"")"),0)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IFERROR(__xludf.DUMMYFUNCTION("IMPORTRANGE(""https://docs.google.com/spreadsheets/d/1SX6NBoVAgQJ6U1MVXOaj8PK2l7WJ3RER9xtqwdhxkhw/edit?usp=sharing"",""ราชบุรี!J64"")"),0)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IFERROR(__xludf.DUMMYFUNCTION("IMPORTRANGE(""https://docs.google.com/spreadsheets/d/1SX6NBoVAgQJ6U1MVXOaj8PK2l7WJ3RER9xtqwdhxkhw/edit?usp=sharing"",""ราชบุรี!J65"")"),0)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IFERROR(__xludf.DUMMYFUNCTION("IMPORTRANGE(""https://docs.google.com/spreadsheets/d/1SX6NBoVAgQJ6U1MVXOaj8PK2l7WJ3RER9xtqwdhxkhw/edit?usp=sharing"",""ราชบุรี!I68"")"),0)</f>
        <v>0</v>
      </c>
      <c r="J138" s="268">
        <f ca="1">IFERROR(__xludf.DUMMYFUNCTION("IMPORTRANGE(""https://docs.google.com/spreadsheets/d/1SX6NBoVAgQJ6U1MVXOaj8PK2l7WJ3RER9xtqwdhxkhw/edit?usp=sharing"",""ราชบุรี!J68"")"),0)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58500</v>
      </c>
      <c r="M140" s="152">
        <f t="shared" ca="1" si="64"/>
        <v>58500</v>
      </c>
      <c r="N140" s="152">
        <f t="shared" ca="1" si="64"/>
        <v>41356.1</v>
      </c>
      <c r="O140" s="151">
        <f t="shared" ref="O140:O142" ca="1" si="65">IF(L140&gt;0,N140*100/L140,0)</f>
        <v>70.694188034188031</v>
      </c>
      <c r="P140" s="151">
        <f t="shared" ref="P140:P142" ca="1" si="66">IF(M140&gt;0,N140*100/M140,0)</f>
        <v>70.694188034188031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58500</v>
      </c>
      <c r="M142" s="157">
        <f t="shared" ca="1" si="68"/>
        <v>58500</v>
      </c>
      <c r="N142" s="157">
        <f t="shared" ca="1" si="68"/>
        <v>41356.1</v>
      </c>
      <c r="O142" s="156">
        <f t="shared" ca="1" si="65"/>
        <v>70.694188034188031</v>
      </c>
      <c r="P142" s="156">
        <f t="shared" ca="1" si="66"/>
        <v>70.694188034188031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58500</v>
      </c>
      <c r="M144" s="168">
        <f ca="1">IFERROR(__xludf.DUMMYFUNCTION("IMPORTRANGE(""https://docs.google.com/spreadsheets/d/1Yj_ptqi66GCucihVvJfMjLAmec39IyEx_6qawtMGysU/edit?usp=sharing"",""สบก!BJ73"")"),58500)</f>
        <v>58500</v>
      </c>
      <c r="N144" s="169">
        <f ca="1">IFERROR(__xludf.DUMMYFUNCTION("IMPORTRANGE(""https://docs.google.com/spreadsheets/d/1Yj_ptqi66GCucihVvJfMjLAmec39IyEx_6qawtMGysU/edit?usp=sharing"",""สบก!BK73"")"),41356.1)</f>
        <v>41356.1</v>
      </c>
      <c r="O144" s="169">
        <f ca="1">IF(L144&gt;0,N144*100/L144,0)</f>
        <v>70.694188034188031</v>
      </c>
      <c r="P144" s="169">
        <f ca="1">IF(M144&gt;0,N144*100/M144,0)</f>
        <v>70.694188034188031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IFERROR(__xludf.DUMMYFUNCTION("IMPORTRANGE(""https://docs.google.com/spreadsheets/d/1Yj_ptqi66GCucihVvJfMjLAmec39IyEx_6qawtMGysU/edit?usp=sharing"",""สบก!BG73"")"),58500)</f>
        <v>58500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IFERROR(__xludf.DUMMYFUNCTION("IMPORTRANGE(""https://docs.google.com/spreadsheets/d/1Yj_ptqi66GCucihVvJfMjLAmec39IyEx_6qawtMGysU/edit?usp=sharing"",""สบก!BH73"")"),0)</f>
        <v>0</v>
      </c>
      <c r="M148" s="49"/>
      <c r="N148" s="49">
        <f ca="1">IFERROR(__xludf.DUMMYFUNCTION("IMPORTRANGE(""https://docs.google.com/spreadsheets/d/1Yj_ptqi66GCucihVvJfMjLAmec39IyEx_6qawtMGysU/edit?usp=sharing"",""สบก!BL73"")"),0)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IFERROR(__xludf.DUMMYFUNCTION("IMPORTRANGE(""https://docs.google.com/spreadsheets/d/1SX6NBoVAgQJ6U1MVXOaj8PK2l7WJ3RER9xtqwdhxkhw/edit?usp=sharing"",""ราชบุรี!I74"")"),4)</f>
        <v>4</v>
      </c>
      <c r="J149" s="276">
        <f ca="1">IFERROR(__xludf.DUMMYFUNCTION("IMPORTRANGE(""https://docs.google.com/spreadsheets/d/1SX6NBoVAgQJ6U1MVXOaj8PK2l7WJ3RER9xtqwdhxkhw/edit?usp=sharing"",""ราชบุรี!J74"")"),4)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IFERROR(__xludf.DUMMYFUNCTION("IMPORTRANGE(""https://docs.google.com/spreadsheets/d/1SX6NBoVAgQJ6U1MVXOaj8PK2l7WJ3RER9xtqwdhxkhw/edit?usp=sharing"",""ราชบุรี!J79"")"),0)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IFERROR(__xludf.DUMMYFUNCTION("IMPORTRANGE(""https://docs.google.com/spreadsheets/d/1SX6NBoVAgQJ6U1MVXOaj8PK2l7WJ3RER9xtqwdhxkhw/edit?usp=sharing"",""ราชบุรี!J80"")"),1)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IFERROR(__xludf.DUMMYFUNCTION("IMPORTRANGE(""https://docs.google.com/spreadsheets/d/1SX6NBoVAgQJ6U1MVXOaj8PK2l7WJ3RER9xtqwdhxkhw/edit?usp=sharing"",""ราชบุรี!J81"")"),1)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IFERROR(__xludf.DUMMYFUNCTION("IMPORTRANGE(""https://docs.google.com/spreadsheets/d/1SX6NBoVAgQJ6U1MVXOaj8PK2l7WJ3RER9xtqwdhxkhw/edit?usp=sharing"",""ราชบุรี!J82"")"),1)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IFERROR(__xludf.DUMMYFUNCTION("IMPORTRANGE(""https://docs.google.com/spreadsheets/d/1SX6NBoVAgQJ6U1MVXOaj8PK2l7WJ3RER9xtqwdhxkhw/edit?usp=sharing"",""ราชบุรี!I83"")"),4)</f>
        <v>4</v>
      </c>
      <c r="J158" s="189">
        <f ca="1">IFERROR(__xludf.DUMMYFUNCTION("IMPORTRANGE(""https://docs.google.com/spreadsheets/d/1SX6NBoVAgQJ6U1MVXOaj8PK2l7WJ3RER9xtqwdhxkhw/edit?usp=sharing"",""ราชบุรี!J83"")"),4)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IFERROR(__xludf.DUMMYFUNCTION("IMPORTRANGE(""https://docs.google.com/spreadsheets/d/1SX6NBoVAgQJ6U1MVXOaj8PK2l7WJ3RER9xtqwdhxkhw/edit?usp=sharing"",""ราชบุรี!J84"")"),340)</f>
        <v>340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IFERROR(__xludf.DUMMYFUNCTION("IMPORTRANGE(""https://docs.google.com/spreadsheets/d/1SX6NBoVAgQJ6U1MVXOaj8PK2l7WJ3RER9xtqwdhxkhw/edit?usp=sharing"",""ราชบุรี!J85"")"),340)</f>
        <v>340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IFERROR(__xludf.DUMMYFUNCTION("IMPORTRANGE(""https://docs.google.com/spreadsheets/d/1SX6NBoVAgQJ6U1MVXOaj8PK2l7WJ3RER9xtqwdhxkhw/edit?usp=sharing"",""ราชบุรี!J86"")"),0)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IFERROR(__xludf.DUMMYFUNCTION("IMPORTRANGE(""https://docs.google.com/spreadsheets/d/1SX6NBoVAgQJ6U1MVXOaj8PK2l7WJ3RER9xtqwdhxkhw/edit?usp=sharing"",""ราชบุรี!J87"")"),0)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IFERROR(__xludf.DUMMYFUNCTION("IMPORTRANGE(""https://docs.google.com/spreadsheets/d/1SX6NBoVAgQJ6U1MVXOaj8PK2l7WJ3RER9xtqwdhxkhw/edit?usp=sharing"",""ราชบุรี!J88"")"),0)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IFERROR(__xludf.DUMMYFUNCTION("IMPORTRANGE(""https://docs.google.com/spreadsheets/d/1SX6NBoVAgQJ6U1MVXOaj8PK2l7WJ3RER9xtqwdhxkhw/edit?usp=sharing"",""ราชบุรี!I89"")"),3)</f>
        <v>3</v>
      </c>
      <c r="J164" s="285">
        <f ca="1">IFERROR(__xludf.DUMMYFUNCTION("IMPORTRANGE(""https://docs.google.com/spreadsheets/d/1SX6NBoVAgQJ6U1MVXOaj8PK2l7WJ3RER9xtqwdhxkhw/edit?usp=sharing"",""ราชบุรี!J89"")"),3)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IFERROR(__xludf.DUMMYFUNCTION("IMPORTRANGE(""https://docs.google.com/spreadsheets/d/1SX6NBoVAgQJ6U1MVXOaj8PK2l7WJ3RER9xtqwdhxkhw/edit?usp=sharing"",""ราชบุรี!J94"")"),0)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IFERROR(__xludf.DUMMYFUNCTION("IMPORTRANGE(""https://docs.google.com/spreadsheets/d/1SX6NBoVAgQJ6U1MVXOaj8PK2l7WJ3RER9xtqwdhxkhw/edit?usp=sharing"",""ราชบุรี!J95"")"),1)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IFERROR(__xludf.DUMMYFUNCTION("IMPORTRANGE(""https://docs.google.com/spreadsheets/d/1SX6NBoVAgQJ6U1MVXOaj8PK2l7WJ3RER9xtqwdhxkhw/edit?usp=sharing"",""ราชบุรี!J96"")"),1)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IFERROR(__xludf.DUMMYFUNCTION("IMPORTRANGE(""https://docs.google.com/spreadsheets/d/1SX6NBoVAgQJ6U1MVXOaj8PK2l7WJ3RER9xtqwdhxkhw/edit?usp=sharing"",""ราชบุรี!J97"")"),1)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IFERROR(__xludf.DUMMYFUNCTION("IMPORTRANGE(""https://docs.google.com/spreadsheets/d/1SX6NBoVAgQJ6U1MVXOaj8PK2l7WJ3RER9xtqwdhxkhw/edit?usp=sharing"",""ราชบุรี!I98"")"),3)</f>
        <v>3</v>
      </c>
      <c r="J173" s="189">
        <f ca="1">IFERROR(__xludf.DUMMYFUNCTION("IMPORTRANGE(""https://docs.google.com/spreadsheets/d/1SX6NBoVAgQJ6U1MVXOaj8PK2l7WJ3RER9xtqwdhxkhw/edit?usp=sharing"",""ราชบุรี!J98"")"),3)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IFERROR(__xludf.DUMMYFUNCTION("IMPORTRANGE(""https://docs.google.com/spreadsheets/d/1SX6NBoVAgQJ6U1MVXOaj8PK2l7WJ3RER9xtqwdhxkhw/edit?usp=sharing"",""ราชบุรี!J99"")"),0)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IFERROR(__xludf.DUMMYFUNCTION("IMPORTRANGE(""https://docs.google.com/spreadsheets/d/1SX6NBoVAgQJ6U1MVXOaj8PK2l7WJ3RER9xtqwdhxkhw/edit?usp=sharing"",""ราชบุรี!J100"")"),0)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IFERROR(__xludf.DUMMYFUNCTION("IMPORTRANGE(""https://docs.google.com/spreadsheets/d/1SX6NBoVAgQJ6U1MVXOaj8PK2l7WJ3RER9xtqwdhxkhw/edit?usp=sharing"",""ราชบุรี!I101"")"),0)</f>
        <v>0</v>
      </c>
      <c r="J176" s="285">
        <f ca="1">IFERROR(__xludf.DUMMYFUNCTION("IMPORTRANGE(""https://docs.google.com/spreadsheets/d/1SX6NBoVAgQJ6U1MVXOaj8PK2l7WJ3RER9xtqwdhxkhw/edit?usp=sharing"",""ราชบุรี!J101"")"),0)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IFERROR(__xludf.DUMMYFUNCTION("IMPORTRANGE(""https://docs.google.com/spreadsheets/d/1SX6NBoVAgQJ6U1MVXOaj8PK2l7WJ3RER9xtqwdhxkhw/edit?usp=sharing"",""ราชบุรี!J106"")"),0)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IFERROR(__xludf.DUMMYFUNCTION("IMPORTRANGE(""https://docs.google.com/spreadsheets/d/1SX6NBoVAgQJ6U1MVXOaj8PK2l7WJ3RER9xtqwdhxkhw/edit?usp=sharing"",""ราชบุรี!J107"")"),0)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IFERROR(__xludf.DUMMYFUNCTION("IMPORTRANGE(""https://docs.google.com/spreadsheets/d/1SX6NBoVAgQJ6U1MVXOaj8PK2l7WJ3RER9xtqwdhxkhw/edit?usp=sharing"",""ราชบุรี!J108"")"),0)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IFERROR(__xludf.DUMMYFUNCTION("IMPORTRANGE(""https://docs.google.com/spreadsheets/d/1SX6NBoVAgQJ6U1MVXOaj8PK2l7WJ3RER9xtqwdhxkhw/edit?usp=sharing"",""ราชบุรี!J109"")"),0)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IFERROR(__xludf.DUMMYFUNCTION("IMPORTRANGE(""https://docs.google.com/spreadsheets/d/1SX6NBoVAgQJ6U1MVXOaj8PK2l7WJ3RER9xtqwdhxkhw/edit?usp=sharing"",""ราชบุรี!I110"")"),0)</f>
        <v>0</v>
      </c>
      <c r="J185" s="204">
        <f ca="1">IFERROR(__xludf.DUMMYFUNCTION("IMPORTRANGE(""https://docs.google.com/spreadsheets/d/1SX6NBoVAgQJ6U1MVXOaj8PK2l7WJ3RER9xtqwdhxkhw/edit?usp=sharing"",""ราชบุรี!J110"")"),0)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IFERROR(__xludf.DUMMYFUNCTION("IMPORTRANGE(""https://docs.google.com/spreadsheets/d/1SX6NBoVAgQJ6U1MVXOaj8PK2l7WJ3RER9xtqwdhxkhw/edit?usp=sharing"",""ราชบุรี!I111"")"),0)</f>
        <v>0</v>
      </c>
      <c r="J186" s="204">
        <f ca="1">IFERROR(__xludf.DUMMYFUNCTION("IMPORTRANGE(""https://docs.google.com/spreadsheets/d/1SX6NBoVAgQJ6U1MVXOaj8PK2l7WJ3RER9xtqwdhxkhw/edit?usp=sharing"",""ราชบุรี!J111"")"),0)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IFERROR(__xludf.DUMMYFUNCTION("IMPORTRANGE(""https://docs.google.com/spreadsheets/d/1SX6NBoVAgQJ6U1MVXOaj8PK2l7WJ3RER9xtqwdhxkhw/edit?usp=sharing"",""ราชบุรี!J112"")"),0)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IFERROR(__xludf.DUMMYFUNCTION("IMPORTRANGE(""https://docs.google.com/spreadsheets/d/1SX6NBoVAgQJ6U1MVXOaj8PK2l7WJ3RER9xtqwdhxkhw/edit?usp=sharing"",""ราชบุรี!J113"")"),0)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IFERROR(__xludf.DUMMYFUNCTION("IMPORTRANGE(""https://docs.google.com/spreadsheets/d/1SX6NBoVAgQJ6U1MVXOaj8PK2l7WJ3RER9xtqwdhxkhw/edit?usp=sharing"",""ราชบุรี!I114"")"),20000)</f>
        <v>20000</v>
      </c>
      <c r="J189" s="285">
        <f ca="1">IFERROR(__xludf.DUMMYFUNCTION("IMPORTRANGE(""https://docs.google.com/spreadsheets/d/1SX6NBoVAgQJ6U1MVXOaj8PK2l7WJ3RER9xtqwdhxkhw/edit?usp=sharing"",""ราชบุรี!J114"")"),0)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IFERROR(__xludf.DUMMYFUNCTION("IMPORTRANGE(""https://docs.google.com/spreadsheets/d/1SX6NBoVAgQJ6U1MVXOaj8PK2l7WJ3RER9xtqwdhxkhw/edit?usp=sharing"",""ราชบุรี!J119"")"),0)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IFERROR(__xludf.DUMMYFUNCTION("IMPORTRANGE(""https://docs.google.com/spreadsheets/d/1SX6NBoVAgQJ6U1MVXOaj8PK2l7WJ3RER9xtqwdhxkhw/edit?usp=sharing"",""ราชบุรี!J120"")"),1)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IFERROR(__xludf.DUMMYFUNCTION("IMPORTRANGE(""https://docs.google.com/spreadsheets/d/1SX6NBoVAgQJ6U1MVXOaj8PK2l7WJ3RER9xtqwdhxkhw/edit?usp=sharing"",""ราชบุรี!J121"")"),0)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IFERROR(__xludf.DUMMYFUNCTION("IMPORTRANGE(""https://docs.google.com/spreadsheets/d/1SX6NBoVAgQJ6U1MVXOaj8PK2l7WJ3RER9xtqwdhxkhw/edit?usp=sharing"",""ราชบุรี!J122"")"),0)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IFERROR(__xludf.DUMMYFUNCTION("IMPORTRANGE(""https://docs.google.com/spreadsheets/d/1SX6NBoVAgQJ6U1MVXOaj8PK2l7WJ3RER9xtqwdhxkhw/edit?usp=sharing"",""ราชบุรี!I124"")"),20000)</f>
        <v>20000</v>
      </c>
      <c r="J199" s="189">
        <f ca="1">IFERROR(__xludf.DUMMYFUNCTION("IMPORTRANGE(""https://docs.google.com/spreadsheets/d/1SX6NBoVAgQJ6U1MVXOaj8PK2l7WJ3RER9xtqwdhxkhw/edit?usp=sharing"",""ราชบุรี!J124"")"),0)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IFERROR(__xludf.DUMMYFUNCTION("IMPORTRANGE(""https://docs.google.com/spreadsheets/d/1SX6NBoVAgQJ6U1MVXOaj8PK2l7WJ3RER9xtqwdhxkhw/edit?usp=sharing"",""ราชบุรี!I125"")"),20000)</f>
        <v>20000</v>
      </c>
      <c r="J200" s="189">
        <f ca="1">IFERROR(__xludf.DUMMYFUNCTION("IMPORTRANGE(""https://docs.google.com/spreadsheets/d/1SX6NBoVAgQJ6U1MVXOaj8PK2l7WJ3RER9xtqwdhxkhw/edit?usp=sharing"",""ราชบุรี!J125"")"),0)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IFERROR(__xludf.DUMMYFUNCTION("IMPORTRANGE(""https://docs.google.com/spreadsheets/d/1SX6NBoVAgQJ6U1MVXOaj8PK2l7WJ3RER9xtqwdhxkhw/edit?usp=sharing"",""ราชบุรี!I126"")"),0)</f>
        <v>0</v>
      </c>
      <c r="J201" s="189">
        <f ca="1">IFERROR(__xludf.DUMMYFUNCTION("IMPORTRANGE(""https://docs.google.com/spreadsheets/d/1SX6NBoVAgQJ6U1MVXOaj8PK2l7WJ3RER9xtqwdhxkhw/edit?usp=sharing"",""ราชบุรี!J126"")"),0)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IFERROR(__xludf.DUMMYFUNCTION("IMPORTRANGE(""https://docs.google.com/spreadsheets/d/1SX6NBoVAgQJ6U1MVXOaj8PK2l7WJ3RER9xtqwdhxkhw/edit?usp=sharing"",""ราชบุรี!J127"")"),0)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IFERROR(__xludf.DUMMYFUNCTION("IMPORTRANGE(""https://docs.google.com/spreadsheets/d/1SX6NBoVAgQJ6U1MVXOaj8PK2l7WJ3RER9xtqwdhxkhw/edit?usp=sharing"",""ราชบุรี!J128"")"),0)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IFERROR(__xludf.DUMMYFUNCTION("IMPORTRANGE(""https://docs.google.com/spreadsheets/d/1SX6NBoVAgQJ6U1MVXOaj8PK2l7WJ3RER9xtqwdhxkhw/edit?usp=sharing"",""ราชบุรี!I129"")"),0)</f>
        <v>0</v>
      </c>
      <c r="J204" s="285">
        <f ca="1">IFERROR(__xludf.DUMMYFUNCTION("IMPORTRANGE(""https://docs.google.com/spreadsheets/d/1SX6NBoVAgQJ6U1MVXOaj8PK2l7WJ3RER9xtqwdhxkhw/edit?usp=sharing"",""ราชบุรี!J129"")"),0)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IFERROR(__xludf.DUMMYFUNCTION("IMPORTRANGE(""https://docs.google.com/spreadsheets/d/1SX6NBoVAgQJ6U1MVXOaj8PK2l7WJ3RER9xtqwdhxkhw/edit?usp=sharing"",""ราชบุรี!J134"")"),0)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IFERROR(__xludf.DUMMYFUNCTION("IMPORTRANGE(""https://docs.google.com/spreadsheets/d/1SX6NBoVAgQJ6U1MVXOaj8PK2l7WJ3RER9xtqwdhxkhw/edit?usp=sharing"",""ราชบุรี!J135"")"),0)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IFERROR(__xludf.DUMMYFUNCTION("IMPORTRANGE(""https://docs.google.com/spreadsheets/d/1SX6NBoVAgQJ6U1MVXOaj8PK2l7WJ3RER9xtqwdhxkhw/edit?usp=sharing"",""ราชบุรี!J136"")"),0)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IFERROR(__xludf.DUMMYFUNCTION("IMPORTRANGE(""https://docs.google.com/spreadsheets/d/1SX6NBoVAgQJ6U1MVXOaj8PK2l7WJ3RER9xtqwdhxkhw/edit?usp=sharing"",""ราชบุรี!J137"")"),0)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IFERROR(__xludf.DUMMYFUNCTION("IMPORTRANGE(""https://docs.google.com/spreadsheets/d/1SX6NBoVAgQJ6U1MVXOaj8PK2l7WJ3RER9xtqwdhxkhw/edit?usp=sharing"",""ราชบุรี!I138"")"),0)</f>
        <v>0</v>
      </c>
      <c r="J213" s="204">
        <f ca="1">IFERROR(__xludf.DUMMYFUNCTION("IMPORTRANGE(""https://docs.google.com/spreadsheets/d/1SX6NBoVAgQJ6U1MVXOaj8PK2l7WJ3RER9xtqwdhxkhw/edit?usp=sharing"",""ราชบุรี!J138"")"),0)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IFERROR(__xludf.DUMMYFUNCTION("IMPORTRANGE(""https://docs.google.com/spreadsheets/d/1SX6NBoVAgQJ6U1MVXOaj8PK2l7WJ3RER9xtqwdhxkhw/edit?usp=sharing"",""ราชบุรี!I140"")"),0)</f>
        <v>0</v>
      </c>
      <c r="J215" s="204">
        <f ca="1">IFERROR(__xludf.DUMMYFUNCTION("IMPORTRANGE(""https://docs.google.com/spreadsheets/d/1SX6NBoVAgQJ6U1MVXOaj8PK2l7WJ3RER9xtqwdhxkhw/edit?usp=sharing"",""ราชบุรี!J140"")"),0)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IFERROR(__xludf.DUMMYFUNCTION("IMPORTRANGE(""https://docs.google.com/spreadsheets/d/1SX6NBoVAgQJ6U1MVXOaj8PK2l7WJ3RER9xtqwdhxkhw/edit?usp=sharing"",""ราชบุรี!I141"")"),0)</f>
        <v>0</v>
      </c>
      <c r="J216" s="204">
        <f ca="1">IFERROR(__xludf.DUMMYFUNCTION("IMPORTRANGE(""https://docs.google.com/spreadsheets/d/1SX6NBoVAgQJ6U1MVXOaj8PK2l7WJ3RER9xtqwdhxkhw/edit?usp=sharing"",""ราชบุรี!J141"")"),0)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IFERROR(__xludf.DUMMYFUNCTION("IMPORTRANGE(""https://docs.google.com/spreadsheets/d/1SX6NBoVAgQJ6U1MVXOaj8PK2l7WJ3RER9xtqwdhxkhw/edit?usp=sharing"",""ราชบุรี!J142"")"),0)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IFERROR(__xludf.DUMMYFUNCTION("IMPORTRANGE(""https://docs.google.com/spreadsheets/d/1SX6NBoVAgQJ6U1MVXOaj8PK2l7WJ3RER9xtqwdhxkhw/edit?usp=sharing"",""ราชบุรี!J143"")"),0)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IFERROR(__xludf.DUMMYFUNCTION("IMPORTRANGE(""https://docs.google.com/spreadsheets/d/1SX6NBoVAgQJ6U1MVXOaj8PK2l7WJ3RER9xtqwdhxkhw/edit?usp=sharing"",""ราชบุรี!I144"")"),15)</f>
        <v>15</v>
      </c>
      <c r="J219" s="268">
        <f ca="1">IFERROR(__xludf.DUMMYFUNCTION("IMPORTRANGE(""https://docs.google.com/spreadsheets/d/1SX6NBoVAgQJ6U1MVXOaj8PK2l7WJ3RER9xtqwdhxkhw/edit?usp=sharing"",""ราชบุรี!J144"")"),15)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IFERROR(__xludf.DUMMYFUNCTION("IMPORTRANGE(""https://docs.google.com/spreadsheets/d/1Yj_ptqi66GCucihVvJfMjLAmec39IyEx_6qawtMGysU/edit?usp=sharing"",""สบก!BS73"")"),21125)</f>
        <v>21125</v>
      </c>
      <c r="N224" s="169">
        <f ca="1">IFERROR(__xludf.DUMMYFUNCTION("IMPORTRANGE(""https://docs.google.com/spreadsheets/d/1Yj_ptqi66GCucihVvJfMjLAmec39IyEx_6qawtMGysU/edit?usp=sharing"",""สบก!BT73"")"),21125)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IFERROR(__xludf.DUMMYFUNCTION("IMPORTRANGE(""https://docs.google.com/spreadsheets/d/1Yj_ptqi66GCucihVvJfMjLAmec39IyEx_6qawtMGysU/edit?usp=sharing"",""สบก!BQ73"")"),0)</f>
        <v>0</v>
      </c>
      <c r="M228" s="49"/>
      <c r="N228" s="49">
        <f ca="1">IFERROR(__xludf.DUMMYFUNCTION("IMPORTRANGE(""https://docs.google.com/spreadsheets/d/1Yj_ptqi66GCucihVvJfMjLAmec39IyEx_6qawtMGysU/edit?usp=sharing"",""สบก!BU73"")"),0)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IFERROR(__xludf.DUMMYFUNCTION("IMPORTRANGE(""https://docs.google.com/spreadsheets/d/1SX6NBoVAgQJ6U1MVXOaj8PK2l7WJ3RER9xtqwdhxkhw/edit?usp=sharing"",""ราชบุรี!I149"")"),15)</f>
        <v>15</v>
      </c>
      <c r="J229" s="268">
        <f ca="1">IFERROR(__xludf.DUMMYFUNCTION("IMPORTRANGE(""https://docs.google.com/spreadsheets/d/1SX6NBoVAgQJ6U1MVXOaj8PK2l7WJ3RER9xtqwdhxkhw/edit?usp=sharing"",""ราชบุรี!J149"")"),15)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IFERROR(__xludf.DUMMYFUNCTION("IMPORTRANGE(""https://docs.google.com/spreadsheets/d/1SX6NBoVAgQJ6U1MVXOaj8PK2l7WJ3RER9xtqwdhxkhw/edit?usp=sharing"",""ราชบุรี!J151"")"),0)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IFERROR(__xludf.DUMMYFUNCTION("IMPORTRANGE(""https://docs.google.com/spreadsheets/d/1SX6NBoVAgQJ6U1MVXOaj8PK2l7WJ3RER9xtqwdhxkhw/edit?usp=sharing"",""ราชบุรี!J152"")"),0)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IFERROR(__xludf.DUMMYFUNCTION("IMPORTRANGE(""https://docs.google.com/spreadsheets/d/1SX6NBoVAgQJ6U1MVXOaj8PK2l7WJ3RER9xtqwdhxkhw/edit?usp=sharing"",""ราชบุรี!J153"")"),0)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IFERROR(__xludf.DUMMYFUNCTION("IMPORTRANGE(""https://docs.google.com/spreadsheets/d/1SX6NBoVAgQJ6U1MVXOaj8PK2l7WJ3RER9xtqwdhxkhw/edit?usp=sharing"",""ราชบุรี!J154"")"),0)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IFERROR(__xludf.DUMMYFUNCTION("IMPORTRANGE(""https://docs.google.com/spreadsheets/d/1SX6NBoVAgQJ6U1MVXOaj8PK2l7WJ3RER9xtqwdhxkhw/edit?usp=sharing"",""ราชบุรี!I155"")"),15)</f>
        <v>15</v>
      </c>
      <c r="J235" s="189">
        <f ca="1">IFERROR(__xludf.DUMMYFUNCTION("IMPORTRANGE(""https://docs.google.com/spreadsheets/d/1SX6NBoVAgQJ6U1MVXOaj8PK2l7WJ3RER9xtqwdhxkhw/edit?usp=sharing"",""ราชบุรี!J155"")"),15)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IFERROR(__xludf.DUMMYFUNCTION("IMPORTRANGE(""https://docs.google.com/spreadsheets/d/1SX6NBoVAgQJ6U1MVXOaj8PK2l7WJ3RER9xtqwdhxkhw/edit?usp=sharing"",""ราชบุรี!J156"")"),1)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IFERROR(__xludf.DUMMYFUNCTION("IMPORTRANGE(""https://docs.google.com/spreadsheets/d/1SX6NBoVAgQJ6U1MVXOaj8PK2l7WJ3RER9xtqwdhxkhw/edit?usp=sharing"",""ราชบุรี!J157"")"),1)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IFERROR(__xludf.DUMMYFUNCTION("IMPORTRANGE(""https://docs.google.com/spreadsheets/d/1SX6NBoVAgQJ6U1MVXOaj8PK2l7WJ3RER9xtqwdhxkhw/edit?usp=sharing"",""ราชบุรี!I158"")"),0)</f>
        <v>0</v>
      </c>
      <c r="J238" s="268">
        <f ca="1">IFERROR(__xludf.DUMMYFUNCTION("IMPORTRANGE(""https://docs.google.com/spreadsheets/d/1SX6NBoVAgQJ6U1MVXOaj8PK2l7WJ3RER9xtqwdhxkhw/edit?usp=sharing"",""ราชบุรี!J158"")"),0)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IFERROR(__xludf.DUMMYFUNCTION("IMPORTRANGE(""https://docs.google.com/spreadsheets/d/1SX6NBoVAgQJ6U1MVXOaj8PK2l7WJ3RER9xtqwdhxkhw/edit?usp=sharing"",""ราชบุรี!J159"")"),"")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IFERROR(__xludf.DUMMYFUNCTION("IMPORTRANGE(""https://docs.google.com/spreadsheets/d/1SX6NBoVAgQJ6U1MVXOaj8PK2l7WJ3RER9xtqwdhxkhw/edit?usp=sharing"",""ราชบุรี!J161"")"),0)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IFERROR(__xludf.DUMMYFUNCTION("IMPORTRANGE(""https://docs.google.com/spreadsheets/d/1SX6NBoVAgQJ6U1MVXOaj8PK2l7WJ3RER9xtqwdhxkhw/edit?usp=sharing"",""ราชบุรี!J162"")"),0)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IFERROR(__xludf.DUMMYFUNCTION("IMPORTRANGE(""https://docs.google.com/spreadsheets/d/1SX6NBoVAgQJ6U1MVXOaj8PK2l7WJ3RER9xtqwdhxkhw/edit?usp=sharing"",""ราชบุรี!J163"")"),0)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IFERROR(__xludf.DUMMYFUNCTION("IMPORTRANGE(""https://docs.google.com/spreadsheets/d/1SX6NBoVAgQJ6U1MVXOaj8PK2l7WJ3RER9xtqwdhxkhw/edit?usp=sharing"",""ราชบุรี!I164"")"),0)</f>
        <v>0</v>
      </c>
      <c r="J244" s="188">
        <f ca="1">IFERROR(__xludf.DUMMYFUNCTION("IMPORTRANGE(""https://docs.google.com/spreadsheets/d/1SX6NBoVAgQJ6U1MVXOaj8PK2l7WJ3RER9xtqwdhxkhw/edit?usp=sharing"",""ราชบุรี!J164"")"),0)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IFERROR(__xludf.DUMMYFUNCTION("IMPORTRANGE(""https://docs.google.com/spreadsheets/d/1SX6NBoVAgQJ6U1MVXOaj8PK2l7WJ3RER9xtqwdhxkhw/edit?usp=sharing"",""ราชบุรี!J165"")"),0)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IFERROR(__xludf.DUMMYFUNCTION("IMPORTRANGE(""https://docs.google.com/spreadsheets/d/1SX6NBoVAgQJ6U1MVXOaj8PK2l7WJ3RER9xtqwdhxkhw/edit?usp=sharing"",""ราชบุรี!J166"")"),0)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IFERROR(__xludf.DUMMYFUNCTION("IMPORTRANGE(""https://docs.google.com/spreadsheets/d/1SX6NBoVAgQJ6U1MVXOaj8PK2l7WJ3RER9xtqwdhxkhw/edit?usp=sharing"",""ราชบุรี!I169"")"),0)</f>
        <v>0</v>
      </c>
      <c r="J249" s="317">
        <f ca="1">IFERROR(__xludf.DUMMYFUNCTION("IMPORTRANGE(""https://docs.google.com/spreadsheets/d/1SX6NBoVAgQJ6U1MVXOaj8PK2l7WJ3RER9xtqwdhxkhw/edit?usp=sharing"",""ราชบุรี!J169"")"),0)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IFERROR(__xludf.DUMMYFUNCTION("IMPORTRANGE(""https://docs.google.com/spreadsheets/d/1Yj_ptqi66GCucihVvJfMjLAmec39IyEx_6qawtMGysU/edit?usp=sharing"",""สบก!CB73"")"),0)</f>
        <v>0</v>
      </c>
      <c r="N254" s="169">
        <f ca="1">IFERROR(__xludf.DUMMYFUNCTION("IMPORTRANGE(""https://docs.google.com/spreadsheets/d/1Yj_ptqi66GCucihVvJfMjLAmec39IyEx_6qawtMGysU/edit?usp=sharing"",""สบก!CC73"")"),0)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IFERROR(__xludf.DUMMYFUNCTION("IMPORTRANGE(""https://docs.google.com/spreadsheets/d/1Yj_ptqi66GCucihVvJfMjLAmec39IyEx_6qawtMGysU/edit?usp=sharing"",""สบก!BZ73"")"),0)</f>
        <v>0</v>
      </c>
      <c r="M258" s="49"/>
      <c r="N258" s="49">
        <f ca="1">IFERROR(__xludf.DUMMYFUNCTION("IMPORTRANGE(""https://docs.google.com/spreadsheets/d/1Yj_ptqi66GCucihVvJfMjLAmec39IyEx_6qawtMGysU/edit?usp=sharing"",""สบก!CD73"")"),0)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IFERROR(__xludf.DUMMYFUNCTION("IMPORTRANGE(""https://docs.google.com/spreadsheets/d/1SX6NBoVAgQJ6U1MVXOaj8PK2l7WJ3RER9xtqwdhxkhw/edit?usp=sharing"",""ราชบุรี!J175"")"),0)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IFERROR(__xludf.DUMMYFUNCTION("IMPORTRANGE(""https://docs.google.com/spreadsheets/d/1SX6NBoVAgQJ6U1MVXOaj8PK2l7WJ3RER9xtqwdhxkhw/edit?usp=sharing"",""ราชบุรี!J176"")"),0)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IFERROR(__xludf.DUMMYFUNCTION("IMPORTRANGE(""https://docs.google.com/spreadsheets/d/1SX6NBoVAgQJ6U1MVXOaj8PK2l7WJ3RER9xtqwdhxkhw/edit?usp=sharing"",""ราชบุรี!J177"")"),0)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IFERROR(__xludf.DUMMYFUNCTION("IMPORTRANGE(""https://docs.google.com/spreadsheets/d/1SX6NBoVAgQJ6U1MVXOaj8PK2l7WJ3RER9xtqwdhxkhw/edit?usp=sharing"",""ราชบุรี!J178"")"),0)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IFERROR(__xludf.DUMMYFUNCTION("IMPORTRANGE(""https://docs.google.com/spreadsheets/d/1SX6NBoVAgQJ6U1MVXOaj8PK2l7WJ3RER9xtqwdhxkhw/edit?usp=sharing"",""ราชบุรี!I179"")"),0)</f>
        <v>0</v>
      </c>
      <c r="J264" s="189">
        <f ca="1">IFERROR(__xludf.DUMMYFUNCTION("IMPORTRANGE(""https://docs.google.com/spreadsheets/d/1SX6NBoVAgQJ6U1MVXOaj8PK2l7WJ3RER9xtqwdhxkhw/edit?usp=sharing"",""ราชบุรี!J179"")"),0)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IFERROR(__xludf.DUMMYFUNCTION("IMPORTRANGE(""https://docs.google.com/spreadsheets/d/1SX6NBoVAgQJ6U1MVXOaj8PK2l7WJ3RER9xtqwdhxkhw/edit?usp=sharing"",""ราชบุรี!I180"")"),0)</f>
        <v>0</v>
      </c>
      <c r="J265" s="189">
        <f ca="1">IFERROR(__xludf.DUMMYFUNCTION("IMPORTRANGE(""https://docs.google.com/spreadsheets/d/1SX6NBoVAgQJ6U1MVXOaj8PK2l7WJ3RER9xtqwdhxkhw/edit?usp=sharing"",""ราชบุรี!J180"")"),0)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IFERROR(__xludf.DUMMYFUNCTION("IMPORTRANGE(""https://docs.google.com/spreadsheets/d/1SX6NBoVAgQJ6U1MVXOaj8PK2l7WJ3RER9xtqwdhxkhw/edit?usp=sharing"",""ราชบุรี!I181"")"),0)</f>
        <v>0</v>
      </c>
      <c r="J266" s="189">
        <f ca="1">IFERROR(__xludf.DUMMYFUNCTION("IMPORTRANGE(""https://docs.google.com/spreadsheets/d/1SX6NBoVAgQJ6U1MVXOaj8PK2l7WJ3RER9xtqwdhxkhw/edit?usp=sharing"",""ราชบุรี!J181"")"),0)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IFERROR(__xludf.DUMMYFUNCTION("IMPORTRANGE(""https://docs.google.com/spreadsheets/d/1SX6NBoVAgQJ6U1MVXOaj8PK2l7WJ3RER9xtqwdhxkhw/edit?usp=sharing"",""ราชบุรี!I182"")"),0)</f>
        <v>0</v>
      </c>
      <c r="J267" s="189">
        <f ca="1">IFERROR(__xludf.DUMMYFUNCTION("IMPORTRANGE(""https://docs.google.com/spreadsheets/d/1SX6NBoVAgQJ6U1MVXOaj8PK2l7WJ3RER9xtqwdhxkhw/edit?usp=sharing"",""ราชบุรี!J182"")"),0)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IFERROR(__xludf.DUMMYFUNCTION("IMPORTRANGE(""https://docs.google.com/spreadsheets/d/1SX6NBoVAgQJ6U1MVXOaj8PK2l7WJ3RER9xtqwdhxkhw/edit?usp=sharing"",""ราชบุรี!J183"")"),0)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IFERROR(__xludf.DUMMYFUNCTION("IMPORTRANGE(""https://docs.google.com/spreadsheets/d/1SX6NBoVAgQJ6U1MVXOaj8PK2l7WJ3RER9xtqwdhxkhw/edit?usp=sharing"",""ราชบุรี!J184"")"),0)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IFERROR(__xludf.DUMMYFUNCTION("IMPORTRANGE(""https://docs.google.com/spreadsheets/d/1SX6NBoVAgQJ6U1MVXOaj8PK2l7WJ3RER9xtqwdhxkhw/edit?usp=sharing"",""ราชบุรี!I185"")"),15)</f>
        <v>15</v>
      </c>
      <c r="J270" s="317">
        <f ca="1">IFERROR(__xludf.DUMMYFUNCTION("IMPORTRANGE(""https://docs.google.com/spreadsheets/d/1SX6NBoVAgQJ6U1MVXOaj8PK2l7WJ3RER9xtqwdhxkhw/edit?usp=sharing"",""ราชบุรี!J185"")"),15)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126037.44</v>
      </c>
      <c r="O271" s="151">
        <f t="shared" ref="O271:O273" ca="1" si="84">IF(L271&gt;0,N271*100/L271,0)</f>
        <v>67.327692307692303</v>
      </c>
      <c r="P271" s="151">
        <f t="shared" ref="P271:P273" ca="1" si="85">IF(M271&gt;0,N271*100/M271,0)</f>
        <v>67.327692307692303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187200</v>
      </c>
      <c r="M273" s="157">
        <f t="shared" ca="1" si="87"/>
        <v>187200</v>
      </c>
      <c r="N273" s="157">
        <f t="shared" ca="1" si="87"/>
        <v>126037.44</v>
      </c>
      <c r="O273" s="156">
        <f t="shared" ca="1" si="84"/>
        <v>67.327692307692303</v>
      </c>
      <c r="P273" s="156">
        <f t="shared" ca="1" si="85"/>
        <v>67.327692307692303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187200</v>
      </c>
      <c r="M275" s="168">
        <f ca="1">IFERROR(__xludf.DUMMYFUNCTION("IMPORTRANGE(""https://docs.google.com/spreadsheets/d/1Yj_ptqi66GCucihVvJfMjLAmec39IyEx_6qawtMGysU/edit?usp=sharing"",""สบก!CK73"")"),187200)</f>
        <v>187200</v>
      </c>
      <c r="N275" s="169">
        <f ca="1">IFERROR(__xludf.DUMMYFUNCTION("IMPORTRANGE(""https://docs.google.com/spreadsheets/d/1Yj_ptqi66GCucihVvJfMjLAmec39IyEx_6qawtMGysU/edit?usp=sharing"",""สบก!CL73"")"),126037.44)</f>
        <v>126037.44</v>
      </c>
      <c r="O275" s="169">
        <f ca="1">IF(L275&gt;0,N275*100/L275,0)</f>
        <v>67.327692307692303</v>
      </c>
      <c r="P275" s="169">
        <f ca="1">IF(M275&gt;0,N275*100/M275,0)</f>
        <v>67.327692307692303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IFERROR(__xludf.DUMMYFUNCTION("IMPORTRANGE(""https://docs.google.com/spreadsheets/d/1Yj_ptqi66GCucihVvJfMjLAmec39IyEx_6qawtMGysU/edit?usp=sharing"",""สบก!CG73"")"),132000)</f>
        <v>132000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IFERROR(__xludf.DUMMYFUNCTION("IMPORTRANGE(""https://docs.google.com/spreadsheets/d/1Yj_ptqi66GCucihVvJfMjLAmec39IyEx_6qawtMGysU/edit?usp=sharing"",""สบก!CH73"")"),55200)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IFERROR(__xludf.DUMMYFUNCTION("IMPORTRANGE(""https://docs.google.com/spreadsheets/d/1Yj_ptqi66GCucihVvJfMjLAmec39IyEx_6qawtMGysU/edit?usp=sharing"",""สบก!CI73"")"),0)</f>
        <v>0</v>
      </c>
      <c r="M279" s="49"/>
      <c r="N279" s="49">
        <f ca="1">IFERROR(__xludf.DUMMYFUNCTION("IMPORTRANGE(""https://docs.google.com/spreadsheets/d/1Yj_ptqi66GCucihVvJfMjLAmec39IyEx_6qawtMGysU/edit?usp=sharing"",""สบก!CM73"")"),0)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IFERROR(__xludf.DUMMYFUNCTION("IMPORTRANGE(""https://docs.google.com/spreadsheets/d/1SX6NBoVAgQJ6U1MVXOaj8PK2l7WJ3RER9xtqwdhxkhw/edit?usp=sharing"",""ราชบุรี!J191"")"),0)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IFERROR(__xludf.DUMMYFUNCTION("IMPORTRANGE(""https://docs.google.com/spreadsheets/d/1SX6NBoVAgQJ6U1MVXOaj8PK2l7WJ3RER9xtqwdhxkhw/edit?usp=sharing"",""ราชบุรี!J192"")"),1)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IFERROR(__xludf.DUMMYFUNCTION("IMPORTRANGE(""https://docs.google.com/spreadsheets/d/1SX6NBoVAgQJ6U1MVXOaj8PK2l7WJ3RER9xtqwdhxkhw/edit?usp=sharing"",""ราชบุรี!J193"")"),1)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IFERROR(__xludf.DUMMYFUNCTION("IMPORTRANGE(""https://docs.google.com/spreadsheets/d/1SX6NBoVAgQJ6U1MVXOaj8PK2l7WJ3RER9xtqwdhxkhw/edit?usp=sharing"",""ราชบุรี!J194"")"),1)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IFERROR(__xludf.DUMMYFUNCTION("IMPORTRANGE(""https://docs.google.com/spreadsheets/d/1SX6NBoVAgQJ6U1MVXOaj8PK2l7WJ3RER9xtqwdhxkhw/edit?usp=sharing"",""ราชบุรี!I195"")"),15)</f>
        <v>15</v>
      </c>
      <c r="J285" s="189">
        <f ca="1">IFERROR(__xludf.DUMMYFUNCTION("IMPORTRANGE(""https://docs.google.com/spreadsheets/d/1SX6NBoVAgQJ6U1MVXOaj8PK2l7WJ3RER9xtqwdhxkhw/edit?usp=sharing"",""ราชบุรี!J195"")"),15)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IFERROR(__xludf.DUMMYFUNCTION("IMPORTRANGE(""https://docs.google.com/spreadsheets/d/1SX6NBoVAgQJ6U1MVXOaj8PK2l7WJ3RER9xtqwdhxkhw/edit?usp=sharing"",""ราชบุรี!J196"")"),0)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IFERROR(__xludf.DUMMYFUNCTION("IMPORTRANGE(""https://docs.google.com/spreadsheets/d/1SX6NBoVAgQJ6U1MVXOaj8PK2l7WJ3RER9xtqwdhxkhw/edit?usp=sharing"",""ราชบุรี!J197"")"),0)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IFERROR(__xludf.DUMMYFUNCTION("IMPORTRANGE(""https://docs.google.com/spreadsheets/d/1SX6NBoVAgQJ6U1MVXOaj8PK2l7WJ3RER9xtqwdhxkhw/edit?usp=sharing"",""ราชบุรี!I199"")"),0)</f>
        <v>0</v>
      </c>
      <c r="J289" s="317">
        <f ca="1">IFERROR(__xludf.DUMMYFUNCTION("IMPORTRANGE(""https://docs.google.com/spreadsheets/d/1SX6NBoVAgQJ6U1MVXOaj8PK2l7WJ3RER9xtqwdhxkhw/edit?usp=sharing"",""ราชบุรี!J199"")"),0)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IFERROR(__xludf.DUMMYFUNCTION("IMPORTRANGE(""https://docs.google.com/spreadsheets/d/1Yj_ptqi66GCucihVvJfMjLAmec39IyEx_6qawtMGysU/edit?usp=sharing"",""สบก!CT73"")"),0)</f>
        <v>0</v>
      </c>
      <c r="N294" s="169">
        <f ca="1">IFERROR(__xludf.DUMMYFUNCTION("IMPORTRANGE(""https://docs.google.com/spreadsheets/d/1Yj_ptqi66GCucihVvJfMjLAmec39IyEx_6qawtMGysU/edit?usp=sharing"",""สบก!CU73"")"),0)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IFERROR(__xludf.DUMMYFUNCTION("IMPORTRANGE(""https://docs.google.com/spreadsheets/d/1Yj_ptqi66GCucihVvJfMjLAmec39IyEx_6qawtMGysU/edit?usp=sharing"",""สบก!CR73"")"),0)</f>
        <v>0</v>
      </c>
      <c r="M298" s="49"/>
      <c r="N298" s="49">
        <f ca="1">IFERROR(__xludf.DUMMYFUNCTION("IMPORTRANGE(""https://docs.google.com/spreadsheets/d/1Yj_ptqi66GCucihVvJfMjLAmec39IyEx_6qawtMGysU/edit?usp=sharing"",""สบก!CV73"")"),0)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IFERROR(__xludf.DUMMYFUNCTION("IMPORTRANGE(""https://docs.google.com/spreadsheets/d/1SX6NBoVAgQJ6U1MVXOaj8PK2l7WJ3RER9xtqwdhxkhw/edit?usp=sharing"",""ราชบุรี!J205"")"),0)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IFERROR(__xludf.DUMMYFUNCTION("IMPORTRANGE(""https://docs.google.com/spreadsheets/d/1SX6NBoVAgQJ6U1MVXOaj8PK2l7WJ3RER9xtqwdhxkhw/edit?usp=sharing"",""ราชบุรี!J206"")"),0)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IFERROR(__xludf.DUMMYFUNCTION("IMPORTRANGE(""https://docs.google.com/spreadsheets/d/1SX6NBoVAgQJ6U1MVXOaj8PK2l7WJ3RER9xtqwdhxkhw/edit?usp=sharing"",""ราชบุรี!J207"")"),0)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IFERROR(__xludf.DUMMYFUNCTION("IMPORTRANGE(""https://docs.google.com/spreadsheets/d/1SX6NBoVAgQJ6U1MVXOaj8PK2l7WJ3RER9xtqwdhxkhw/edit?usp=sharing"",""ราชบุรี!J208"")"),0)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IFERROR(__xludf.DUMMYFUNCTION("IMPORTRANGE(""https://docs.google.com/spreadsheets/d/1SX6NBoVAgQJ6U1MVXOaj8PK2l7WJ3RER9xtqwdhxkhw/edit?usp=sharing"",""ราชบุรี!I209"")"),0)</f>
        <v>0</v>
      </c>
      <c r="J304" s="204">
        <f ca="1">IFERROR(__xludf.DUMMYFUNCTION("IMPORTRANGE(""https://docs.google.com/spreadsheets/d/1SX6NBoVAgQJ6U1MVXOaj8PK2l7WJ3RER9xtqwdhxkhw/edit?usp=sharing"",""ราชบุรี!J209"")"),0)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IFERROR(__xludf.DUMMYFUNCTION("IMPORTRANGE(""https://docs.google.com/spreadsheets/d/1SX6NBoVAgQJ6U1MVXOaj8PK2l7WJ3RER9xtqwdhxkhw/edit?usp=sharing"",""ราชบุรี!I211"")"),0)</f>
        <v>0</v>
      </c>
      <c r="J306" s="204">
        <f ca="1">IFERROR(__xludf.DUMMYFUNCTION("IMPORTRANGE(""https://docs.google.com/spreadsheets/d/1SX6NBoVAgQJ6U1MVXOaj8PK2l7WJ3RER9xtqwdhxkhw/edit?usp=sharing"",""ราชบุรี!J211"")"),0)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IFERROR(__xludf.DUMMYFUNCTION("IMPORTRANGE(""https://docs.google.com/spreadsheets/d/1SX6NBoVAgQJ6U1MVXOaj8PK2l7WJ3RER9xtqwdhxkhw/edit?usp=sharing"",""ราชบุรี!J212"")"),0)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IFERROR(__xludf.DUMMYFUNCTION("IMPORTRANGE(""https://docs.google.com/spreadsheets/d/1SX6NBoVAgQJ6U1MVXOaj8PK2l7WJ3RER9xtqwdhxkhw/edit?usp=sharing"",""ราชบุรี!J213"")"),0)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IFERROR(__xludf.DUMMYFUNCTION("IMPORTRANGE(""https://docs.google.com/spreadsheets/d/1SX6NBoVAgQJ6U1MVXOaj8PK2l7WJ3RER9xtqwdhxkhw/edit?usp=sharing"",""ราชบุรี!I214"")"),0)</f>
        <v>0</v>
      </c>
      <c r="J309" s="334">
        <f ca="1">IFERROR(__xludf.DUMMYFUNCTION("IMPORTRANGE(""https://docs.google.com/spreadsheets/d/1SX6NBoVAgQJ6U1MVXOaj8PK2l7WJ3RER9xtqwdhxkhw/edit?usp=sharing"",""ราชบุรี!J214"")"),0)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IFERROR(__xludf.DUMMYFUNCTION("IMPORTRANGE(""https://docs.google.com/spreadsheets/d/1Yj_ptqi66GCucihVvJfMjLAmec39IyEx_6qawtMGysU/edit?usp=sharing"",""สบก!DC73"")"),0)</f>
        <v>0</v>
      </c>
      <c r="N314" s="169">
        <f ca="1">IFERROR(__xludf.DUMMYFUNCTION("IMPORTRANGE(""https://docs.google.com/spreadsheets/d/1Yj_ptqi66GCucihVvJfMjLAmec39IyEx_6qawtMGysU/edit?usp=sharing"",""สบก!DD73"")"),0)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IFERROR(__xludf.DUMMYFUNCTION("IMPORTRANGE(""https://docs.google.com/spreadsheets/d/1Yj_ptqi66GCucihVvJfMjLAmec39IyEx_6qawtMGysU/edit?usp=sharing"",""สบก!DA73"")"),0)</f>
        <v>0</v>
      </c>
      <c r="M318" s="49"/>
      <c r="N318" s="49">
        <f ca="1">IFERROR(__xludf.DUMMYFUNCTION("IMPORTRANGE(""https://docs.google.com/spreadsheets/d/1Yj_ptqi66GCucihVvJfMjLAmec39IyEx_6qawtMGysU/edit?usp=sharing"",""สบก!DE73"")"),0)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IFERROR(__xludf.DUMMYFUNCTION("IMPORTRANGE(""https://docs.google.com/spreadsheets/d/1SX6NBoVAgQJ6U1MVXOaj8PK2l7WJ3RER9xtqwdhxkhw/edit?usp=sharing"",""ราชบุรี!J220"")"),0)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IFERROR(__xludf.DUMMYFUNCTION("IMPORTRANGE(""https://docs.google.com/spreadsheets/d/1SX6NBoVAgQJ6U1MVXOaj8PK2l7WJ3RER9xtqwdhxkhw/edit?usp=sharing"",""ราชบุรี!J221"")"),0)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IFERROR(__xludf.DUMMYFUNCTION("IMPORTRANGE(""https://docs.google.com/spreadsheets/d/1SX6NBoVAgQJ6U1MVXOaj8PK2l7WJ3RER9xtqwdhxkhw/edit?usp=sharing"",""ราชบุรี!J222"")"),0)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IFERROR(__xludf.DUMMYFUNCTION("IMPORTRANGE(""https://docs.google.com/spreadsheets/d/1SX6NBoVAgQJ6U1MVXOaj8PK2l7WJ3RER9xtqwdhxkhw/edit?usp=sharing"",""ราชบุรี!J223"")"),0)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IFERROR(__xludf.DUMMYFUNCTION("IMPORTRANGE(""https://docs.google.com/spreadsheets/d/1SX6NBoVAgQJ6U1MVXOaj8PK2l7WJ3RER9xtqwdhxkhw/edit?usp=sharing"",""ราชบุรี!I224"")"),0)</f>
        <v>0</v>
      </c>
      <c r="J324" s="204">
        <f ca="1">IFERROR(__xludf.DUMMYFUNCTION("IMPORTRANGE(""https://docs.google.com/spreadsheets/d/1SX6NBoVAgQJ6U1MVXOaj8PK2l7WJ3RER9xtqwdhxkhw/edit?usp=sharing"",""ราชบุรี!J224"")"),0)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IFERROR(__xludf.DUMMYFUNCTION("IMPORTRANGE(""https://docs.google.com/spreadsheets/d/1SX6NBoVAgQJ6U1MVXOaj8PK2l7WJ3RER9xtqwdhxkhw/edit?usp=sharing"",""ราชบุรี!J225"")"),0)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IFERROR(__xludf.DUMMYFUNCTION("IMPORTRANGE(""https://docs.google.com/spreadsheets/d/1SX6NBoVAgQJ6U1MVXOaj8PK2l7WJ3RER9xtqwdhxkhw/edit?usp=sharing"",""ราชบุรี!J226"")"),0)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IFERROR(__xludf.DUMMYFUNCTION("IMPORTRANGE(""https://docs.google.com/spreadsheets/d/1SX6NBoVAgQJ6U1MVXOaj8PK2l7WJ3RER9xtqwdhxkhw/edit?usp=sharing"",""ราชบุรี!I228"")"),340)</f>
        <v>340</v>
      </c>
      <c r="J328" s="340">
        <f ca="1">IFERROR(__xludf.DUMMYFUNCTION("IMPORTRANGE(""https://docs.google.com/spreadsheets/d/1SX6NBoVAgQJ6U1MVXOaj8PK2l7WJ3RER9xtqwdhxkhw/edit?usp=sharing"",""ราชบุรี!J228"")"),94)</f>
        <v>94</v>
      </c>
      <c r="K328" s="318">
        <f ca="1">IF(I328&gt;0,J328*100/I328,0)</f>
        <v>27.647058823529413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1009800</v>
      </c>
      <c r="M329" s="152">
        <f t="shared" ca="1" si="98"/>
        <v>985500</v>
      </c>
      <c r="N329" s="152">
        <f t="shared" ca="1" si="98"/>
        <v>766124.55</v>
      </c>
      <c r="O329" s="151">
        <f t="shared" ref="O329:O331" ca="1" si="99">IF(L329&gt;0,N329*100/L329,0)</f>
        <v>75.868939393939399</v>
      </c>
      <c r="P329" s="151">
        <f t="shared" ref="P329:P331" ca="1" si="100">IF(M329&gt;0,N329*100/M329,0)</f>
        <v>77.739680365296806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1009800</v>
      </c>
      <c r="M331" s="157">
        <f t="shared" ca="1" si="102"/>
        <v>985500</v>
      </c>
      <c r="N331" s="157">
        <f t="shared" ca="1" si="102"/>
        <v>766124.55</v>
      </c>
      <c r="O331" s="156">
        <f t="shared" ca="1" si="99"/>
        <v>75.868939393939399</v>
      </c>
      <c r="P331" s="156">
        <f t="shared" ca="1" si="100"/>
        <v>77.739680365296806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975300</v>
      </c>
      <c r="M333" s="168">
        <f ca="1">IFERROR(__xludf.DUMMYFUNCTION("IMPORTRANGE(""https://docs.google.com/spreadsheets/d/1Yj_ptqi66GCucihVvJfMjLAmec39IyEx_6qawtMGysU/edit?usp=sharing"",""สบก!DL73"")"),951000)</f>
        <v>951000</v>
      </c>
      <c r="N333" s="169">
        <f ca="1">IFERROR(__xludf.DUMMYFUNCTION("IMPORTRANGE(""https://docs.google.com/spreadsheets/d/1Yj_ptqi66GCucihVvJfMjLAmec39IyEx_6qawtMGysU/edit?usp=sharing"",""สบก!DM73"")"),731624.55)</f>
        <v>731624.55</v>
      </c>
      <c r="O333" s="169">
        <f ca="1">IF(L333&gt;0,N333*100/L333,0)</f>
        <v>75.015333743463543</v>
      </c>
      <c r="P333" s="169">
        <f ca="1">IF(M333&gt;0,N333*100/M333,0)</f>
        <v>76.932129337539436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IFERROR(__xludf.DUMMYFUNCTION("IMPORTRANGE(""https://docs.google.com/spreadsheets/d/1Yj_ptqi66GCucihVvJfMjLAmec39IyEx_6qawtMGysU/edit?usp=sharing"",""สบก!DH73"")"),564000)</f>
        <v>564000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IFERROR(__xludf.DUMMYFUNCTION("IMPORTRANGE(""https://docs.google.com/spreadsheets/d/1Yj_ptqi66GCucihVvJfMjLAmec39IyEx_6qawtMGysU/edit?usp=sharing"",""สบก!DI73"")"),411300)</f>
        <v>411300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IFERROR(__xludf.DUMMYFUNCTION("IMPORTRANGE(""https://docs.google.com/spreadsheets/d/1Yj_ptqi66GCucihVvJfMjLAmec39IyEx_6qawtMGysU/edit?usp=sharing"",""สบก!DJ73"")"),34500)</f>
        <v>34500</v>
      </c>
      <c r="M337" s="49">
        <f ca="1">L337</f>
        <v>34500</v>
      </c>
      <c r="N337" s="49">
        <f ca="1">IFERROR(__xludf.DUMMYFUNCTION("IMPORTRANGE(""https://docs.google.com/spreadsheets/d/1Yj_ptqi66GCucihVvJfMjLAmec39IyEx_6qawtMGysU/edit?usp=sharing"",""สบก!DN73"")"),34500)</f>
        <v>34500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IFERROR(__xludf.DUMMYFUNCTION("IMPORTRANGE(""https://docs.google.com/spreadsheets/d/1SX6NBoVAgQJ6U1MVXOaj8PK2l7WJ3RER9xtqwdhxkhw/edit?usp=sharing"",""ราชบุรี!I234"")"),0)</f>
        <v>0</v>
      </c>
      <c r="J339" s="188">
        <f ca="1">IFERROR(__xludf.DUMMYFUNCTION("IMPORTRANGE(""https://docs.google.com/spreadsheets/d/1SX6NBoVAgQJ6U1MVXOaj8PK2l7WJ3RER9xtqwdhxkhw/edit?usp=sharing"",""ราชบุรี!J234"")"),102)</f>
        <v>102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IFERROR(__xludf.DUMMYFUNCTION("IMPORTRANGE(""https://docs.google.com/spreadsheets/d/1SX6NBoVAgQJ6U1MVXOaj8PK2l7WJ3RER9xtqwdhxkhw/edit?usp=sharing"",""ราชบุรี!I235"")"),2600)</f>
        <v>2600</v>
      </c>
      <c r="J340" s="188">
        <f ca="1">IFERROR(__xludf.DUMMYFUNCTION("IMPORTRANGE(""https://docs.google.com/spreadsheets/d/1SX6NBoVAgQJ6U1MVXOaj8PK2l7WJ3RER9xtqwdhxkhw/edit?usp=sharing"",""ราชบุรี!J235"")"),1240.03)</f>
        <v>1240.03</v>
      </c>
      <c r="K340" s="343">
        <f t="shared" ca="1" si="103"/>
        <v>47.693461538461541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IFERROR(__xludf.DUMMYFUNCTION("IMPORTRANGE(""https://docs.google.com/spreadsheets/d/1SX6NBoVAgQJ6U1MVXOaj8PK2l7WJ3RER9xtqwdhxkhw/edit?usp=sharing"",""ราชบุรี!I236"")"),340)</f>
        <v>340</v>
      </c>
      <c r="J341" s="188">
        <f ca="1">IFERROR(__xludf.DUMMYFUNCTION("IMPORTRANGE(""https://docs.google.com/spreadsheets/d/1SX6NBoVAgQJ6U1MVXOaj8PK2l7WJ3RER9xtqwdhxkhw/edit?usp=sharing"",""ราชบุรี!J236"")"),182)</f>
        <v>182</v>
      </c>
      <c r="K341" s="343">
        <f t="shared" ca="1" si="103"/>
        <v>53.529411764705884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IFERROR(__xludf.DUMMYFUNCTION("IMPORTRANGE(""https://docs.google.com/spreadsheets/d/1SX6NBoVAgQJ6U1MVXOaj8PK2l7WJ3RER9xtqwdhxkhw/edit?usp=sharing"",""ราชบุรี!I237"")"),0)</f>
        <v>0</v>
      </c>
      <c r="J342" s="188">
        <f ca="1">IFERROR(__xludf.DUMMYFUNCTION("IMPORTRANGE(""https://docs.google.com/spreadsheets/d/1SX6NBoVAgQJ6U1MVXOaj8PK2l7WJ3RER9xtqwdhxkhw/edit?usp=sharing"",""ราชบุรี!J237"")"),1784.72)</f>
        <v>1784.72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IFERROR(__xludf.DUMMYFUNCTION("IMPORTRANGE(""https://docs.google.com/spreadsheets/d/1SX6NBoVAgQJ6U1MVXOaj8PK2l7WJ3RER9xtqwdhxkhw/edit?usp=sharing"",""ราชบุรี!I238"")"),340)</f>
        <v>340</v>
      </c>
      <c r="J343" s="188">
        <f ca="1">IFERROR(__xludf.DUMMYFUNCTION("IMPORTRANGE(""https://docs.google.com/spreadsheets/d/1SX6NBoVAgQJ6U1MVXOaj8PK2l7WJ3RER9xtqwdhxkhw/edit?usp=sharing"",""ราชบุรี!J238"")"),0)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IFERROR(__xludf.DUMMYFUNCTION("IMPORTRANGE(""https://docs.google.com/spreadsheets/d/1SX6NBoVAgQJ6U1MVXOaj8PK2l7WJ3RER9xtqwdhxkhw/edit?usp=sharing"",""ราชบุรี!I239"")"),0)</f>
        <v>0</v>
      </c>
      <c r="J344" s="188">
        <f ca="1">IFERROR(__xludf.DUMMYFUNCTION("IMPORTRANGE(""https://docs.google.com/spreadsheets/d/1SX6NBoVAgQJ6U1MVXOaj8PK2l7WJ3RER9xtqwdhxkhw/edit?usp=sharing"",""ราชบุรี!J239"")"),0)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IFERROR(__xludf.DUMMYFUNCTION("IMPORTRANGE(""https://docs.google.com/spreadsheets/d/1SX6NBoVAgQJ6U1MVXOaj8PK2l7WJ3RER9xtqwdhxkhw/edit?usp=sharing"",""ราชบุรี!I240"")"),340)</f>
        <v>340</v>
      </c>
      <c r="J345" s="188">
        <f ca="1">IFERROR(__xludf.DUMMYFUNCTION("IMPORTRANGE(""https://docs.google.com/spreadsheets/d/1SX6NBoVAgQJ6U1MVXOaj8PK2l7WJ3RER9xtqwdhxkhw/edit?usp=sharing"",""ราชบุรี!J240"")"),94)</f>
        <v>94</v>
      </c>
      <c r="K345" s="343">
        <f t="shared" ca="1" si="103"/>
        <v>27.647058823529413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IFERROR(__xludf.DUMMYFUNCTION("IMPORTRANGE(""https://docs.google.com/spreadsheets/d/1SX6NBoVAgQJ6U1MVXOaj8PK2l7WJ3RER9xtqwdhxkhw/edit?usp=sharing"",""ราชบุรี!I241"")"),0)</f>
        <v>0</v>
      </c>
      <c r="J346" s="188">
        <f ca="1">IFERROR(__xludf.DUMMYFUNCTION("IMPORTRANGE(""https://docs.google.com/spreadsheets/d/1SX6NBoVAgQJ6U1MVXOaj8PK2l7WJ3RER9xtqwdhxkhw/edit?usp=sharing"",""ราชบุรี!J241"")"),913.88)</f>
        <v>913.88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IFERROR(__xludf.DUMMYFUNCTION("IMPORTRANGE(""https://docs.google.com/spreadsheets/d/1SX6NBoVAgQJ6U1MVXOaj8PK2l7WJ3RER9xtqwdhxkhw/edit?usp=sharing"",""ราชบุรี!L242"")"),1596532)</f>
        <v>1596532</v>
      </c>
      <c r="M347" s="358"/>
      <c r="N347" s="358">
        <f ca="1">IFERROR(__xludf.DUMMYFUNCTION("IMPORTRANGE(""https://docs.google.com/spreadsheets/d/1SX6NBoVAgQJ6U1MVXOaj8PK2l7WJ3RER9xtqwdhxkhw/edit?usp=sharing"",""ราชบุรี!M242"")"),879376.95)</f>
        <v>879376.95</v>
      </c>
      <c r="O347" s="358">
        <f ca="1">+IF(L347&gt;0,N347*100/L347,0)</f>
        <v>55.080446242230032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IFERROR(__xludf.DUMMYFUNCTION("IMPORTRANGE(""https://docs.google.com/spreadsheets/d/1SX6NBoVAgQJ6U1MVXOaj8PK2l7WJ3RER9xtqwdhxkhw/edit?usp=sharing"",""ราชบุรี!I244"")"),0)</f>
        <v>0</v>
      </c>
      <c r="J349" s="371">
        <f ca="1">IFERROR(__xludf.DUMMYFUNCTION("IMPORTRANGE(""https://docs.google.com/spreadsheets/d/1SX6NBoVAgQJ6U1MVXOaj8PK2l7WJ3RER9xtqwdhxkhw/edit?usp=sharing"",""ราชบุรี!J244"")"),0)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IFERROR(__xludf.DUMMYFUNCTION("IMPORTRANGE(""https://docs.google.com/spreadsheets/d/1SX6NBoVAgQJ6U1MVXOaj8PK2l7WJ3RER9xtqwdhxkhw/edit?usp=sharing"",""ราชบุรี!L244"")"),0)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IFERROR(__xludf.DUMMYFUNCTION("IMPORTRANGE(""https://docs.google.com/spreadsheets/d/1SX6NBoVAgQJ6U1MVXOaj8PK2l7WJ3RER9xtqwdhxkhw/edit?usp=sharing"",""ราชบุรี!M244"")"),0)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IFERROR(__xludf.DUMMYFUNCTION("IMPORTRANGE(""https://docs.google.com/spreadsheets/d/1SX6NBoVAgQJ6U1MVXOaj8PK2l7WJ3RER9xtqwdhxkhw/edit?usp=sharing"",""ราชบุรี!I245"")"),0)</f>
        <v>0</v>
      </c>
      <c r="J350" s="371">
        <f ca="1">IFERROR(__xludf.DUMMYFUNCTION("IMPORTRANGE(""https://docs.google.com/spreadsheets/d/1SX6NBoVAgQJ6U1MVXOaj8PK2l7WJ3RER9xtqwdhxkhw/edit?usp=sharing"",""ราชบุรี!J245"")"),0)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IFERROR(__xludf.DUMMYFUNCTION("IMPORTRANGE(""https://docs.google.com/spreadsheets/d/1SX6NBoVAgQJ6U1MVXOaj8PK2l7WJ3RER9xtqwdhxkhw/edit?usp=sharing"",""ราชบุรี!L246"")"),0)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IFERROR(__xludf.DUMMYFUNCTION("IMPORTRANGE(""https://docs.google.com/spreadsheets/d/1SX6NBoVAgQJ6U1MVXOaj8PK2l7WJ3RER9xtqwdhxkhw/edit?usp=sharing"",""ราชบุรี!M246"")"),0)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IFERROR(__xludf.DUMMYFUNCTION("IMPORTRANGE(""https://docs.google.com/spreadsheets/d/1SX6NBoVAgQJ6U1MVXOaj8PK2l7WJ3RER9xtqwdhxkhw/edit?usp=sharing"",""ราชบุรี!L247"")"),0)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IFERROR(__xludf.DUMMYFUNCTION("IMPORTRANGE(""https://docs.google.com/spreadsheets/d/1SX6NBoVAgQJ6U1MVXOaj8PK2l7WJ3RER9xtqwdhxkhw/edit?usp=sharing"",""ราชบุรี!M247"")"),0)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IFERROR(__xludf.DUMMYFUNCTION("IMPORTRANGE(""https://docs.google.com/spreadsheets/d/1SX6NBoVAgQJ6U1MVXOaj8PK2l7WJ3RER9xtqwdhxkhw/edit?usp=sharing"",""ราชบุรี!L248"")"),0)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IFERROR(__xludf.DUMMYFUNCTION("IMPORTRANGE(""https://docs.google.com/spreadsheets/d/1SX6NBoVAgQJ6U1MVXOaj8PK2l7WJ3RER9xtqwdhxkhw/edit?usp=sharing"",""ราชบุรี!M248"")"),0)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IFERROR(__xludf.DUMMYFUNCTION("IMPORTRANGE(""https://docs.google.com/spreadsheets/d/1SX6NBoVAgQJ6U1MVXOaj8PK2l7WJ3RER9xtqwdhxkhw/edit?usp=sharing"",""ราชบุรี!L249"")"),0)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IFERROR(__xludf.DUMMYFUNCTION("IMPORTRANGE(""https://docs.google.com/spreadsheets/d/1SX6NBoVAgQJ6U1MVXOaj8PK2l7WJ3RER9xtqwdhxkhw/edit?usp=sharing"",""ราชบุรี!M249"")"),0)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IFERROR(__xludf.DUMMYFUNCTION("IMPORTRANGE(""https://docs.google.com/spreadsheets/d/1SX6NBoVAgQJ6U1MVXOaj8PK2l7WJ3RER9xtqwdhxkhw/edit?usp=sharing"",""ราชบุรี!M250"")"),0)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IFERROR(__xludf.DUMMYFUNCTION("IMPORTRANGE(""https://docs.google.com/spreadsheets/d/1SX6NBoVAgQJ6U1MVXOaj8PK2l7WJ3RER9xtqwdhxkhw/edit?usp=sharing"",""ราชบุรี!M251"")"),0)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IFERROR(__xludf.DUMMYFUNCTION("IMPORTRANGE(""https://docs.google.com/spreadsheets/d/1SX6NBoVAgQJ6U1MVXOaj8PK2l7WJ3RER9xtqwdhxkhw/edit?usp=sharing"",""ราชบุรี!M252"")"),0)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IFERROR(__xludf.DUMMYFUNCTION("IMPORTRANGE(""https://docs.google.com/spreadsheets/d/1SX6NBoVAgQJ6U1MVXOaj8PK2l7WJ3RER9xtqwdhxkhw/edit?usp=sharing"",""ราชบุรี!M253"")"),0)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IFERROR(__xludf.DUMMYFUNCTION("IMPORTRANGE(""https://docs.google.com/spreadsheets/d/1SX6NBoVAgQJ6U1MVXOaj8PK2l7WJ3RER9xtqwdhxkhw/edit?usp=sharing"",""ราชบุรี!J255"")"),0)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IFERROR(__xludf.DUMMYFUNCTION("IMPORTRANGE(""https://docs.google.com/spreadsheets/d/1SX6NBoVAgQJ6U1MVXOaj8PK2l7WJ3RER9xtqwdhxkhw/edit?usp=sharing"",""ราชบุรี!J256"")"),0)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IFERROR(__xludf.DUMMYFUNCTION("IMPORTRANGE(""https://docs.google.com/spreadsheets/d/1SX6NBoVAgQJ6U1MVXOaj8PK2l7WJ3RER9xtqwdhxkhw/edit?usp=sharing"",""ราชบุรี!J257"")"),0)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IFERROR(__xludf.DUMMYFUNCTION("IMPORTRANGE(""https://docs.google.com/spreadsheets/d/1SX6NBoVAgQJ6U1MVXOaj8PK2l7WJ3RER9xtqwdhxkhw/edit?usp=sharing"",""ราชบุรี!J258"")"),0)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IFERROR(__xludf.DUMMYFUNCTION("IMPORTRANGE(""https://docs.google.com/spreadsheets/d/1SX6NBoVAgQJ6U1MVXOaj8PK2l7WJ3RER9xtqwdhxkhw/edit?usp=sharing"",""ราชบุรี!J166"")"),0)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IFERROR(__xludf.DUMMYFUNCTION("IMPORTRANGE(""https://docs.google.com/spreadsheets/d/1SX6NBoVAgQJ6U1MVXOaj8PK2l7WJ3RER9xtqwdhxkhw/edit?usp=sharing"",""ราชบุรี!J166"")"),0)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IFERROR(__xludf.DUMMYFUNCTION("IMPORTRANGE(""https://docs.google.com/spreadsheets/d/1SX6NBoVAgQJ6U1MVXOaj8PK2l7WJ3RER9xtqwdhxkhw/edit?usp=sharing"",""ราชบุรี!J166"")"),0)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IFERROR(__xludf.DUMMYFUNCTION("IMPORTRANGE(""https://docs.google.com/spreadsheets/d/1SX6NBoVAgQJ6U1MVXOaj8PK2l7WJ3RER9xtqwdhxkhw/edit?usp=sharing"",""ราชบุรี!J166"")"),0)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IFERROR(__xludf.DUMMYFUNCTION("IMPORTRANGE(""https://docs.google.com/spreadsheets/d/1SX6NBoVAgQJ6U1MVXOaj8PK2l7WJ3RER9xtqwdhxkhw/edit?usp=sharing"",""ราชบุรี!I263"")"),0)</f>
        <v>0</v>
      </c>
      <c r="J368" s="188">
        <f ca="1">IFERROR(__xludf.DUMMYFUNCTION("IMPORTRANGE(""https://docs.google.com/spreadsheets/d/1SX6NBoVAgQJ6U1MVXOaj8PK2l7WJ3RER9xtqwdhxkhw/edit?usp=sharing"",""ราชบุรี!J263"")"),0)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IFERROR(__xludf.DUMMYFUNCTION("IMPORTRANGE(""https://docs.google.com/spreadsheets/d/1SX6NBoVAgQJ6U1MVXOaj8PK2l7WJ3RER9xtqwdhxkhw/edit?usp=sharing"",""ราชบุรี!I164"")"),0)</f>
        <v>0</v>
      </c>
      <c r="J369" s="204">
        <f ca="1">IFERROR(__xludf.DUMMYFUNCTION("IMPORTRANGE(""https://docs.google.com/spreadsheets/d/1SX6NBoVAgQJ6U1MVXOaj8PK2l7WJ3RER9xtqwdhxkhw/edit?usp=sharing"",""ราชบุรี!J164"")"),0)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IFERROR(__xludf.DUMMYFUNCTION("IMPORTRANGE(""https://docs.google.com/spreadsheets/d/1SX6NBoVAgQJ6U1MVXOaj8PK2l7WJ3RER9xtqwdhxkhw/edit?usp=sharing"",""ราชบุรี!I265"")"),0)</f>
        <v>0</v>
      </c>
      <c r="J370" s="204">
        <f ca="1">IFERROR(__xludf.DUMMYFUNCTION("IMPORTRANGE(""https://docs.google.com/spreadsheets/d/1SX6NBoVAgQJ6U1MVXOaj8PK2l7WJ3RER9xtqwdhxkhw/edit?usp=sharing"",""ราชบุรี!J265"")"),0)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IFERROR(__xludf.DUMMYFUNCTION("IMPORTRANGE(""https://docs.google.com/spreadsheets/d/1SX6NBoVAgQJ6U1MVXOaj8PK2l7WJ3RER9xtqwdhxkhw/edit?usp=sharing"",""ราชบุรี!I164"")"),0)</f>
        <v>0</v>
      </c>
      <c r="J371" s="189">
        <f ca="1">IFERROR(__xludf.DUMMYFUNCTION("IMPORTRANGE(""https://docs.google.com/spreadsheets/d/1SX6NBoVAgQJ6U1MVXOaj8PK2l7WJ3RER9xtqwdhxkhw/edit?usp=sharing"",""ราชบุรี!J164"")"),0)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IFERROR(__xludf.DUMMYFUNCTION("IMPORTRANGE(""https://docs.google.com/spreadsheets/d/1SX6NBoVAgQJ6U1MVXOaj8PK2l7WJ3RER9xtqwdhxkhw/edit?usp=sharing"",""ราชบุรี!I267"")"),0)</f>
        <v>0</v>
      </c>
      <c r="J372" s="189">
        <f ca="1">IFERROR(__xludf.DUMMYFUNCTION("IMPORTRANGE(""https://docs.google.com/spreadsheets/d/1SX6NBoVAgQJ6U1MVXOaj8PK2l7WJ3RER9xtqwdhxkhw/edit?usp=sharing"",""ราชบุรี!J267"")"),0)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IFERROR(__xludf.DUMMYFUNCTION("IMPORTRANGE(""https://docs.google.com/spreadsheets/d/1SX6NBoVAgQJ6U1MVXOaj8PK2l7WJ3RER9xtqwdhxkhw/edit?usp=sharing"",""ราชบุรี!I164"")"),0)</f>
        <v>0</v>
      </c>
      <c r="J373" s="204">
        <f ca="1">IFERROR(__xludf.DUMMYFUNCTION("IMPORTRANGE(""https://docs.google.com/spreadsheets/d/1SX6NBoVAgQJ6U1MVXOaj8PK2l7WJ3RER9xtqwdhxkhw/edit?usp=sharing"",""ราชบุรี!J164"")"),0)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IFERROR(__xludf.DUMMYFUNCTION("IMPORTRANGE(""https://docs.google.com/spreadsheets/d/1SX6NBoVAgQJ6U1MVXOaj8PK2l7WJ3RER9xtqwdhxkhw/edit?usp=sharing"",""ราชบุรี!I164"")"),0)</f>
        <v>0</v>
      </c>
      <c r="J374" s="188">
        <f ca="1">IFERROR(__xludf.DUMMYFUNCTION("IMPORTRANGE(""https://docs.google.com/spreadsheets/d/1SX6NBoVAgQJ6U1MVXOaj8PK2l7WJ3RER9xtqwdhxkhw/edit?usp=sharing"",""ราชบุรี!J164"")"),0)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IFERROR(__xludf.DUMMYFUNCTION("IMPORTRANGE(""https://docs.google.com/spreadsheets/d/1SX6NBoVAgQJ6U1MVXOaj8PK2l7WJ3RER9xtqwdhxkhw/edit?usp=sharing"",""ราชบุรี!I270"")"),0)</f>
        <v>0</v>
      </c>
      <c r="J375" s="188">
        <f ca="1">IFERROR(__xludf.DUMMYFUNCTION("IMPORTRANGE(""https://docs.google.com/spreadsheets/d/1SX6NBoVAgQJ6U1MVXOaj8PK2l7WJ3RER9xtqwdhxkhw/edit?usp=sharing"",""ราชบุรี!J270"")"),0)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IFERROR(__xludf.DUMMYFUNCTION("IMPORTRANGE(""https://docs.google.com/spreadsheets/d/1SX6NBoVAgQJ6U1MVXOaj8PK2l7WJ3RER9xtqwdhxkhw/edit?usp=sharing"",""ราชบุรี!I271"")"),0)</f>
        <v>0</v>
      </c>
      <c r="J376" s="189">
        <f ca="1">IFERROR(__xludf.DUMMYFUNCTION("IMPORTRANGE(""https://docs.google.com/spreadsheets/d/1SX6NBoVAgQJ6U1MVXOaj8PK2l7WJ3RER9xtqwdhxkhw/edit?usp=sharing"",""ราชบุรี!J271"")"),0)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IFERROR(__xludf.DUMMYFUNCTION("IMPORTRANGE(""https://docs.google.com/spreadsheets/d/1SX6NBoVAgQJ6U1MVXOaj8PK2l7WJ3RER9xtqwdhxkhw/edit?usp=sharing"",""ราชบุรี!I272"")"),0)</f>
        <v>0</v>
      </c>
      <c r="J377" s="204">
        <f ca="1">IFERROR(__xludf.DUMMYFUNCTION("IMPORTRANGE(""https://docs.google.com/spreadsheets/d/1SX6NBoVAgQJ6U1MVXOaj8PK2l7WJ3RER9xtqwdhxkhw/edit?usp=sharing"",""ราชบุรี!J272"")"),0)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IFERROR(__xludf.DUMMYFUNCTION("IMPORTRANGE(""https://docs.google.com/spreadsheets/d/1SX6NBoVAgQJ6U1MVXOaj8PK2l7WJ3RER9xtqwdhxkhw/edit?usp=sharing"",""ราชบุรี!J273"")"),0)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IFERROR(__xludf.DUMMYFUNCTION("IMPORTRANGE(""https://docs.google.com/spreadsheets/d/1SX6NBoVAgQJ6U1MVXOaj8PK2l7WJ3RER9xtqwdhxkhw/edit?usp=sharing"",""ราชบุรี!J274"")"),0)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IFERROR(__xludf.DUMMYFUNCTION("IMPORTRANGE(""https://docs.google.com/spreadsheets/d/1SX6NBoVAgQJ6U1MVXOaj8PK2l7WJ3RER9xtqwdhxkhw/edit?usp=sharing"",""ราชบุรี!I275"")"),1000)</f>
        <v>1000</v>
      </c>
      <c r="J380" s="371">
        <f ca="1">IFERROR(__xludf.DUMMYFUNCTION("IMPORTRANGE(""https://docs.google.com/spreadsheets/d/1SX6NBoVAgQJ6U1MVXOaj8PK2l7WJ3RER9xtqwdhxkhw/edit?usp=sharing"",""ราชบุรี!J275"")"),0)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IFERROR(__xludf.DUMMYFUNCTION("IMPORTRANGE(""https://docs.google.com/spreadsheets/d/1SX6NBoVAgQJ6U1MVXOaj8PK2l7WJ3RER9xtqwdhxkhw/edit?usp=sharing"",""ราชบุรี!L275"")"),1028520)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IFERROR(__xludf.DUMMYFUNCTION("IMPORTRANGE(""https://docs.google.com/spreadsheets/d/1SX6NBoVAgQJ6U1MVXOaj8PK2l7WJ3RER9xtqwdhxkhw/edit?usp=sharing"",""ราชบุรี!M275"")"),392165.2)</f>
        <v>392165.2</v>
      </c>
      <c r="O380" s="373">
        <f ca="1">+IF(L380&gt;0,N380*100/L380,0)</f>
        <v>38.129078676156027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IFERROR(__xludf.DUMMYFUNCTION("IMPORTRANGE(""https://docs.google.com/spreadsheets/d/1SX6NBoVAgQJ6U1MVXOaj8PK2l7WJ3RER9xtqwdhxkhw/edit?usp=sharing"",""ราชบุรี!I276"")"),100)</f>
        <v>100</v>
      </c>
      <c r="J381" s="371">
        <f ca="1">IFERROR(__xludf.DUMMYFUNCTION("IMPORTRANGE(""https://docs.google.com/spreadsheets/d/1SX6NBoVAgQJ6U1MVXOaj8PK2l7WJ3RER9xtqwdhxkhw/edit?usp=sharing"",""ราชบุรี!J276"")"),100)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IFERROR(__xludf.DUMMYFUNCTION("IMPORTRANGE(""https://docs.google.com/spreadsheets/d/1SX6NBoVAgQJ6U1MVXOaj8PK2l7WJ3RER9xtqwdhxkhw/edit?usp=sharing"",""ราชบุรี!L277"")"),0)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IFERROR(__xludf.DUMMYFUNCTION("IMPORTRANGE(""https://docs.google.com/spreadsheets/d/1SX6NBoVAgQJ6U1MVXOaj8PK2l7WJ3RER9xtqwdhxkhw/edit?usp=sharing"",""ราชบุรี!M277"")"),0)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IFERROR(__xludf.DUMMYFUNCTION("IMPORTRANGE(""https://docs.google.com/spreadsheets/d/1SX6NBoVAgQJ6U1MVXOaj8PK2l7WJ3RER9xtqwdhxkhw/edit?usp=sharing"",""ราชบุรี!L278"")"),1028520)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IFERROR(__xludf.DUMMYFUNCTION("IMPORTRANGE(""https://docs.google.com/spreadsheets/d/1SX6NBoVAgQJ6U1MVXOaj8PK2l7WJ3RER9xtqwdhxkhw/edit?usp=sharing"",""ราชบุรี!M278"")"),392165.2)</f>
        <v>392165.2</v>
      </c>
      <c r="O383" s="165">
        <f t="shared" ca="1" si="109"/>
        <v>38.129078676156027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IFERROR(__xludf.DUMMYFUNCTION("IMPORTRANGE(""https://docs.google.com/spreadsheets/d/1SX6NBoVAgQJ6U1MVXOaj8PK2l7WJ3RER9xtqwdhxkhw/edit?usp=sharing"",""ราชบุรี!L279"")"),0)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IFERROR(__xludf.DUMMYFUNCTION("IMPORTRANGE(""https://docs.google.com/spreadsheets/d/1SX6NBoVAgQJ6U1MVXOaj8PK2l7WJ3RER9xtqwdhxkhw/edit?usp=sharing"",""ราชบุรี!M279"")"),0)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IFERROR(__xludf.DUMMYFUNCTION("IMPORTRANGE(""https://docs.google.com/spreadsheets/d/1SX6NBoVAgQJ6U1MVXOaj8PK2l7WJ3RER9xtqwdhxkhw/edit?usp=sharing"",""ราชบุรี!L280"")"),1028520)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IFERROR(__xludf.DUMMYFUNCTION("IMPORTRANGE(""https://docs.google.com/spreadsheets/d/1SX6NBoVAgQJ6U1MVXOaj8PK2l7WJ3RER9xtqwdhxkhw/edit?usp=sharing"",""ราชบุรี!M280"")"),392165.2)</f>
        <v>392165.2</v>
      </c>
      <c r="O385" s="169">
        <f t="shared" ca="1" si="109"/>
        <v>38.129078676156027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IFERROR(__xludf.DUMMYFUNCTION("IMPORTRANGE(""https://docs.google.com/spreadsheets/d/1SX6NBoVAgQJ6U1MVXOaj8PK2l7WJ3RER9xtqwdhxkhw/edit?usp=sharing"",""ราชบุรี!M281"")"),233000)</f>
        <v>233000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IFERROR(__xludf.DUMMYFUNCTION("IMPORTRANGE(""https://docs.google.com/spreadsheets/d/1SX6NBoVAgQJ6U1MVXOaj8PK2l7WJ3RER9xtqwdhxkhw/edit?usp=sharing"",""ราชบุรี!M282"")"),0)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IFERROR(__xludf.DUMMYFUNCTION("IMPORTRANGE(""https://docs.google.com/spreadsheets/d/1SX6NBoVAgQJ6U1MVXOaj8PK2l7WJ3RER9xtqwdhxkhw/edit?usp=sharing"",""ราชบุรี!M283"")"),109645.2)</f>
        <v>109645.2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IFERROR(__xludf.DUMMYFUNCTION("IMPORTRANGE(""https://docs.google.com/spreadsheets/d/1SX6NBoVAgQJ6U1MVXOaj8PK2l7WJ3RER9xtqwdhxkhw/edit?usp=sharing"",""ราชบุรี!M284"")"),49520)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IFERROR(__xludf.DUMMYFUNCTION("IMPORTRANGE(""https://docs.google.com/spreadsheets/d/1SX6NBoVAgQJ6U1MVXOaj8PK2l7WJ3RER9xtqwdhxkhw/edit?usp=sharing"",""ราชบุรี!J286"")"),0)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IFERROR(__xludf.DUMMYFUNCTION("IMPORTRANGE(""https://docs.google.com/spreadsheets/d/1SX6NBoVAgQJ6U1MVXOaj8PK2l7WJ3RER9xtqwdhxkhw/edit?usp=sharing"",""ราชบุรี!J287"")"),1)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IFERROR(__xludf.DUMMYFUNCTION("IMPORTRANGE(""https://docs.google.com/spreadsheets/d/1SX6NBoVAgQJ6U1MVXOaj8PK2l7WJ3RER9xtqwdhxkhw/edit?usp=sharing"",""ราชบุรี!J288"")"),1)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IFERROR(__xludf.DUMMYFUNCTION("IMPORTRANGE(""https://docs.google.com/spreadsheets/d/1SX6NBoVAgQJ6U1MVXOaj8PK2l7WJ3RER9xtqwdhxkhw/edit?usp=sharing"",""ราชบุรี!J289"")"),1)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IFERROR(__xludf.DUMMYFUNCTION("IMPORTRANGE(""https://docs.google.com/spreadsheets/d/1SX6NBoVAgQJ6U1MVXOaj8PK2l7WJ3RER9xtqwdhxkhw/edit?usp=sharing"",""ราชบุรี!I291"")"),100)</f>
        <v>100</v>
      </c>
      <c r="J396" s="198">
        <f ca="1">IFERROR(__xludf.DUMMYFUNCTION("IMPORTRANGE(""https://docs.google.com/spreadsheets/d/1SX6NBoVAgQJ6U1MVXOaj8PK2l7WJ3RER9xtqwdhxkhw/edit?usp=sharing"",""ราชบุรี!J291"")"),100)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IFERROR(__xludf.DUMMYFUNCTION("IMPORTRANGE(""https://docs.google.com/spreadsheets/d/1SX6NBoVAgQJ6U1MVXOaj8PK2l7WJ3RER9xtqwdhxkhw/edit?usp=sharing"",""ราชบุรี!I292"")"),1000)</f>
        <v>1000</v>
      </c>
      <c r="J397" s="198">
        <f ca="1">IFERROR(__xludf.DUMMYFUNCTION("IMPORTRANGE(""https://docs.google.com/spreadsheets/d/1SX6NBoVAgQJ6U1MVXOaj8PK2l7WJ3RER9xtqwdhxkhw/edit?usp=sharing"",""ราชบุรี!J292"")"),0)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IFERROR(__xludf.DUMMYFUNCTION("IMPORTRANGE(""https://docs.google.com/spreadsheets/d/1SX6NBoVAgQJ6U1MVXOaj8PK2l7WJ3RER9xtqwdhxkhw/edit?usp=sharing"",""ราชบุรี!I293"")"),100)</f>
        <v>100</v>
      </c>
      <c r="J398" s="198">
        <f ca="1">IFERROR(__xludf.DUMMYFUNCTION("IMPORTRANGE(""https://docs.google.com/spreadsheets/d/1SX6NBoVAgQJ6U1MVXOaj8PK2l7WJ3RER9xtqwdhxkhw/edit?usp=sharing"",""ราชบุรี!J293"")"),0)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IFERROR(__xludf.DUMMYFUNCTION("IMPORTRANGE(""https://docs.google.com/spreadsheets/d/1SX6NBoVAgQJ6U1MVXOaj8PK2l7WJ3RER9xtqwdhxkhw/edit?usp=sharing"",""ราชบุรี!J294"")"),0)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IFERROR(__xludf.DUMMYFUNCTION("IMPORTRANGE(""https://docs.google.com/spreadsheets/d/1SX6NBoVAgQJ6U1MVXOaj8PK2l7WJ3RER9xtqwdhxkhw/edit?usp=sharing"",""ราชบุรี!J295"")"),0)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IFERROR(__xludf.DUMMYFUNCTION("IMPORTRANGE(""https://docs.google.com/spreadsheets/d/1SX6NBoVAgQJ6U1MVXOaj8PK2l7WJ3RER9xtqwdhxkhw/edit?usp=sharing"",""ราชบุรี!I296"")"),195)</f>
        <v>195</v>
      </c>
      <c r="J401" s="371">
        <f ca="1">IFERROR(__xludf.DUMMYFUNCTION("IMPORTRANGE(""https://docs.google.com/spreadsheets/d/1SX6NBoVAgQJ6U1MVXOaj8PK2l7WJ3RER9xtqwdhxkhw/edit?usp=sharing"",""ราชบุรี!J296"")"),195)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IFERROR(__xludf.DUMMYFUNCTION("IMPORTRANGE(""https://docs.google.com/spreadsheets/d/1SX6NBoVAgQJ6U1MVXOaj8PK2l7WJ3RER9xtqwdhxkhw/edit?usp=sharing"",""ราชบุรี!L296"")"),226530)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IFERROR(__xludf.DUMMYFUNCTION("IMPORTRANGE(""https://docs.google.com/spreadsheets/d/1SX6NBoVAgQJ6U1MVXOaj8PK2l7WJ3RER9xtqwdhxkhw/edit?usp=sharing"",""ราชบุรี!M296"")"),218125.56)</f>
        <v>218125.56</v>
      </c>
      <c r="O401" s="373">
        <f ca="1">+IF(L401&gt;0,N401*100/L401,0)</f>
        <v>96.289921864653692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IFERROR(__xludf.DUMMYFUNCTION("IMPORTRANGE(""https://docs.google.com/spreadsheets/d/1SX6NBoVAgQJ6U1MVXOaj8PK2l7WJ3RER9xtqwdhxkhw/edit?usp=sharing"",""ราชบุรี!I297"")"),65)</f>
        <v>65</v>
      </c>
      <c r="J402" s="371">
        <f ca="1">IFERROR(__xludf.DUMMYFUNCTION("IMPORTRANGE(""https://docs.google.com/spreadsheets/d/1SX6NBoVAgQJ6U1MVXOaj8PK2l7WJ3RER9xtqwdhxkhw/edit?usp=sharing"",""ราชบุรี!J297"")"),65)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IFERROR(__xludf.DUMMYFUNCTION("IMPORTRANGE(""https://docs.google.com/spreadsheets/d/1SX6NBoVAgQJ6U1MVXOaj8PK2l7WJ3RER9xtqwdhxkhw/edit?usp=sharing"",""ราชบุรี!L298"")"),0)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IFERROR(__xludf.DUMMYFUNCTION("IMPORTRANGE(""https://docs.google.com/spreadsheets/d/1SX6NBoVAgQJ6U1MVXOaj8PK2l7WJ3RER9xtqwdhxkhw/edit?usp=sharing"",""ราชบุรี!M298"")"),0)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IFERROR(__xludf.DUMMYFUNCTION("IMPORTRANGE(""https://docs.google.com/spreadsheets/d/1SX6NBoVAgQJ6U1MVXOaj8PK2l7WJ3RER9xtqwdhxkhw/edit?usp=sharing"",""ราชบุรี!L299"")"),226530)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IFERROR(__xludf.DUMMYFUNCTION("IMPORTRANGE(""https://docs.google.com/spreadsheets/d/1SX6NBoVAgQJ6U1MVXOaj8PK2l7WJ3RER9xtqwdhxkhw/edit?usp=sharing"",""ราชบุรี!M299"")"),218125.56)</f>
        <v>218125.56</v>
      </c>
      <c r="O404" s="169">
        <f t="shared" ca="1" si="112"/>
        <v>96.289921864653692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IFERROR(__xludf.DUMMYFUNCTION("IMPORTRANGE(""https://docs.google.com/spreadsheets/d/1SX6NBoVAgQJ6U1MVXOaj8PK2l7WJ3RER9xtqwdhxkhw/edit?usp=sharing"",""ราชบุรี!L300"")"),0)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IFERROR(__xludf.DUMMYFUNCTION("IMPORTRANGE(""https://docs.google.com/spreadsheets/d/1SX6NBoVAgQJ6U1MVXOaj8PK2l7WJ3RER9xtqwdhxkhw/edit?usp=sharing"",""ราชบุรี!M300"")"),0)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IFERROR(__xludf.DUMMYFUNCTION("IMPORTRANGE(""https://docs.google.com/spreadsheets/d/1SX6NBoVAgQJ6U1MVXOaj8PK2l7WJ3RER9xtqwdhxkhw/edit?usp=sharing"",""ราชบุรี!L301"")"),226530)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IFERROR(__xludf.DUMMYFUNCTION("IMPORTRANGE(""https://docs.google.com/spreadsheets/d/1SX6NBoVAgQJ6U1MVXOaj8PK2l7WJ3RER9xtqwdhxkhw/edit?usp=sharing"",""ราชบุรี!M301"")"),218125.56)</f>
        <v>218125.56</v>
      </c>
      <c r="O406" s="169">
        <f t="shared" ca="1" si="112"/>
        <v>96.289921864653692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IFERROR(__xludf.DUMMYFUNCTION("IMPORTRANGE(""https://docs.google.com/spreadsheets/d/1SX6NBoVAgQJ6U1MVXOaj8PK2l7WJ3RER9xtqwdhxkhw/edit?usp=sharing"",""ราชบุรี!M302"")"),128930)</f>
        <v>128930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IFERROR(__xludf.DUMMYFUNCTION("IMPORTRANGE(""https://docs.google.com/spreadsheets/d/1SX6NBoVAgQJ6U1MVXOaj8PK2l7WJ3RER9xtqwdhxkhw/edit?usp=sharing"",""ราชบุรี!M303"")"),62400)</f>
        <v>62400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IFERROR(__xludf.DUMMYFUNCTION("IMPORTRANGE(""https://docs.google.com/spreadsheets/d/1SX6NBoVAgQJ6U1MVXOaj8PK2l7WJ3RER9xtqwdhxkhw/edit?usp=sharing"",""ราชบุรี!M304"")"),0)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IFERROR(__xludf.DUMMYFUNCTION("IMPORTRANGE(""https://docs.google.com/spreadsheets/d/1SX6NBoVAgQJ6U1MVXOaj8PK2l7WJ3RER9xtqwdhxkhw/edit?usp=sharing"",""ราชบุรี!M305"")"),26795.56)</f>
        <v>26795.56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IFERROR(__xludf.DUMMYFUNCTION("IMPORTRANGE(""https://docs.google.com/spreadsheets/d/1SX6NBoVAgQJ6U1MVXOaj8PK2l7WJ3RER9xtqwdhxkhw/edit?usp=sharing"",""ราชบุรี!J307"")"),0)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IFERROR(__xludf.DUMMYFUNCTION("IMPORTRANGE(""https://docs.google.com/spreadsheets/d/1SX6NBoVAgQJ6U1MVXOaj8PK2l7WJ3RER9xtqwdhxkhw/edit?usp=sharing"",""ราชบุรี!J308"")"),1)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IFERROR(__xludf.DUMMYFUNCTION("IMPORTRANGE(""https://docs.google.com/spreadsheets/d/1SX6NBoVAgQJ6U1MVXOaj8PK2l7WJ3RER9xtqwdhxkhw/edit?usp=sharing"",""ราชบุรี!J309"")"),1)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IFERROR(__xludf.DUMMYFUNCTION("IMPORTRANGE(""https://docs.google.com/spreadsheets/d/1SX6NBoVAgQJ6U1MVXOaj8PK2l7WJ3RER9xtqwdhxkhw/edit?usp=sharing"",""ราชบุรี!J310"")"),1)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IFERROR(__xludf.DUMMYFUNCTION("IMPORTRANGE(""https://docs.google.com/spreadsheets/d/1SX6NBoVAgQJ6U1MVXOaj8PK2l7WJ3RER9xtqwdhxkhw/edit?usp=sharing"",""ราชบุรี!I311"")"),65)</f>
        <v>65</v>
      </c>
      <c r="J416" s="201">
        <f ca="1">IFERROR(__xludf.DUMMYFUNCTION("IMPORTRANGE(""https://docs.google.com/spreadsheets/d/1SX6NBoVAgQJ6U1MVXOaj8PK2l7WJ3RER9xtqwdhxkhw/edit?usp=sharing"",""ราชบุรี!J311"")"),65)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IFERROR(__xludf.DUMMYFUNCTION("IMPORTRANGE(""https://docs.google.com/spreadsheets/d/1SX6NBoVAgQJ6U1MVXOaj8PK2l7WJ3RER9xtqwdhxkhw/edit?usp=sharing"",""ราชบุรี!I312"")"),30)</f>
        <v>30</v>
      </c>
      <c r="J417" s="392">
        <f ca="1">IFERROR(__xludf.DUMMYFUNCTION("IMPORTRANGE(""https://docs.google.com/spreadsheets/d/1SX6NBoVAgQJ6U1MVXOaj8PK2l7WJ3RER9xtqwdhxkhw/edit?usp=sharing"",""ราชบุรี!J312"")"),30)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IFERROR(__xludf.DUMMYFUNCTION("IMPORTRANGE(""https://docs.google.com/spreadsheets/d/1SX6NBoVAgQJ6U1MVXOaj8PK2l7WJ3RER9xtqwdhxkhw/edit?usp=sharing"",""ราชบุรี!I313"")"),90)</f>
        <v>90</v>
      </c>
      <c r="J418" s="393">
        <f ca="1">IFERROR(__xludf.DUMMYFUNCTION("IMPORTRANGE(""https://docs.google.com/spreadsheets/d/1SX6NBoVAgQJ6U1MVXOaj8PK2l7WJ3RER9xtqwdhxkhw/edit?usp=sharing"",""ราชบุรี!J313"")"),90)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IFERROR(__xludf.DUMMYFUNCTION("IMPORTRANGE(""https://docs.google.com/spreadsheets/d/1SX6NBoVAgQJ6U1MVXOaj8PK2l7WJ3RER9xtqwdhxkhw/edit?usp=sharing"",""ราชบุรี!I314"")"),30)</f>
        <v>30</v>
      </c>
      <c r="J419" s="394">
        <f ca="1">IFERROR(__xludf.DUMMYFUNCTION("IMPORTRANGE(""https://docs.google.com/spreadsheets/d/1SX6NBoVAgQJ6U1MVXOaj8PK2l7WJ3RER9xtqwdhxkhw/edit?usp=sharing"",""ราชบุรี!J314"")"),30)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IFERROR(__xludf.DUMMYFUNCTION("IMPORTRANGE(""https://docs.google.com/spreadsheets/d/1SX6NBoVAgQJ6U1MVXOaj8PK2l7WJ3RER9xtqwdhxkhw/edit?usp=sharing"",""ราชบุรี!I315"")"),30)</f>
        <v>30</v>
      </c>
      <c r="J420" s="394">
        <f ca="1">IFERROR(__xludf.DUMMYFUNCTION("IMPORTRANGE(""https://docs.google.com/spreadsheets/d/1SX6NBoVAgQJ6U1MVXOaj8PK2l7WJ3RER9xtqwdhxkhw/edit?usp=sharing"",""ราชบุรี!J315"")"),30)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IFERROR(__xludf.DUMMYFUNCTION("IMPORTRANGE(""https://docs.google.com/spreadsheets/d/1SX6NBoVAgQJ6U1MVXOaj8PK2l7WJ3RER9xtqwdhxkhw/edit?usp=sharing"",""ราชบุรี!I316"")"),25)</f>
        <v>25</v>
      </c>
      <c r="J421" s="392">
        <f ca="1">IFERROR(__xludf.DUMMYFUNCTION("IMPORTRANGE(""https://docs.google.com/spreadsheets/d/1SX6NBoVAgQJ6U1MVXOaj8PK2l7WJ3RER9xtqwdhxkhw/edit?usp=sharing"",""ราชบุรี!J316"")"),25)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IFERROR(__xludf.DUMMYFUNCTION("IMPORTRANGE(""https://docs.google.com/spreadsheets/d/1SX6NBoVAgQJ6U1MVXOaj8PK2l7WJ3RER9xtqwdhxkhw/edit?usp=sharing"",""ราชบุรี!I317"")"),75)</f>
        <v>75</v>
      </c>
      <c r="J422" s="393">
        <f ca="1">IFERROR(__xludf.DUMMYFUNCTION("IMPORTRANGE(""https://docs.google.com/spreadsheets/d/1SX6NBoVAgQJ6U1MVXOaj8PK2l7WJ3RER9xtqwdhxkhw/edit?usp=sharing"",""ราชบุรี!J317"")"),75)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IFERROR(__xludf.DUMMYFUNCTION("IMPORTRANGE(""https://docs.google.com/spreadsheets/d/1SX6NBoVAgQJ6U1MVXOaj8PK2l7WJ3RER9xtqwdhxkhw/edit?usp=sharing"",""ราชบุรี!I318"")"),25)</f>
        <v>25</v>
      </c>
      <c r="J423" s="394">
        <f ca="1">IFERROR(__xludf.DUMMYFUNCTION("IMPORTRANGE(""https://docs.google.com/spreadsheets/d/1SX6NBoVAgQJ6U1MVXOaj8PK2l7WJ3RER9xtqwdhxkhw/edit?usp=sharing"",""ราชบุรี!J318"")"),25)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IFERROR(__xludf.DUMMYFUNCTION("IMPORTRANGE(""https://docs.google.com/spreadsheets/d/1SX6NBoVAgQJ6U1MVXOaj8PK2l7WJ3RER9xtqwdhxkhw/edit?usp=sharing"",""ราชบุรี!I319"")"),25)</f>
        <v>25</v>
      </c>
      <c r="J424" s="394">
        <f ca="1">IFERROR(__xludf.DUMMYFUNCTION("IMPORTRANGE(""https://docs.google.com/spreadsheets/d/1SX6NBoVAgQJ6U1MVXOaj8PK2l7WJ3RER9xtqwdhxkhw/edit?usp=sharing"",""ราชบุรี!J319"")"),25)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IFERROR(__xludf.DUMMYFUNCTION("IMPORTRANGE(""https://docs.google.com/spreadsheets/d/1SX6NBoVAgQJ6U1MVXOaj8PK2l7WJ3RER9xtqwdhxkhw/edit?usp=sharing"",""ราชบุรี!I320"")"),25)</f>
        <v>25</v>
      </c>
      <c r="J425" s="394">
        <f ca="1">IFERROR(__xludf.DUMMYFUNCTION("IMPORTRANGE(""https://docs.google.com/spreadsheets/d/1SX6NBoVAgQJ6U1MVXOaj8PK2l7WJ3RER9xtqwdhxkhw/edit?usp=sharing"",""ราชบุรี!J320"")"),25)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IFERROR(__xludf.DUMMYFUNCTION("IMPORTRANGE(""https://docs.google.com/spreadsheets/d/1SX6NBoVAgQJ6U1MVXOaj8PK2l7WJ3RER9xtqwdhxkhw/edit?usp=sharing"",""ราชบุรี!I321"")"),10)</f>
        <v>10</v>
      </c>
      <c r="J426" s="392">
        <f ca="1">IFERROR(__xludf.DUMMYFUNCTION("IMPORTRANGE(""https://docs.google.com/spreadsheets/d/1SX6NBoVAgQJ6U1MVXOaj8PK2l7WJ3RER9xtqwdhxkhw/edit?usp=sharing"",""ราชบุรี!J321"")"),10)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IFERROR(__xludf.DUMMYFUNCTION("IMPORTRANGE(""https://docs.google.com/spreadsheets/d/1SX6NBoVAgQJ6U1MVXOaj8PK2l7WJ3RER9xtqwdhxkhw/edit?usp=sharing"",""ราชบุรี!I322"")"),30)</f>
        <v>30</v>
      </c>
      <c r="J427" s="393">
        <f ca="1">IFERROR(__xludf.DUMMYFUNCTION("IMPORTRANGE(""https://docs.google.com/spreadsheets/d/1SX6NBoVAgQJ6U1MVXOaj8PK2l7WJ3RER9xtqwdhxkhw/edit?usp=sharing"",""ราชบุรี!J322"")"),30)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IFERROR(__xludf.DUMMYFUNCTION("IMPORTRANGE(""https://docs.google.com/spreadsheets/d/1SX6NBoVAgQJ6U1MVXOaj8PK2l7WJ3RER9xtqwdhxkhw/edit?usp=sharing"",""ราชบุรี!I323"")"),10)</f>
        <v>10</v>
      </c>
      <c r="J428" s="394">
        <f ca="1">IFERROR(__xludf.DUMMYFUNCTION("IMPORTRANGE(""https://docs.google.com/spreadsheets/d/1SX6NBoVAgQJ6U1MVXOaj8PK2l7WJ3RER9xtqwdhxkhw/edit?usp=sharing"",""ราชบุรี!J323"")"),10)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IFERROR(__xludf.DUMMYFUNCTION("IMPORTRANGE(""https://docs.google.com/spreadsheets/d/1SX6NBoVAgQJ6U1MVXOaj8PK2l7WJ3RER9xtqwdhxkhw/edit?usp=sharing"",""ราชบุรี!I324"")"),10)</f>
        <v>10</v>
      </c>
      <c r="J429" s="394">
        <f ca="1">IFERROR(__xludf.DUMMYFUNCTION("IMPORTRANGE(""https://docs.google.com/spreadsheets/d/1SX6NBoVAgQJ6U1MVXOaj8PK2l7WJ3RER9xtqwdhxkhw/edit?usp=sharing"",""ราชบุรี!J324"")"),10)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IFERROR(__xludf.DUMMYFUNCTION("IMPORTRANGE(""https://docs.google.com/spreadsheets/d/1SX6NBoVAgQJ6U1MVXOaj8PK2l7WJ3RER9xtqwdhxkhw/edit?usp=sharing"",""ราชบุรี!I325"")"),55)</f>
        <v>55</v>
      </c>
      <c r="J430" s="392">
        <f ca="1">IFERROR(__xludf.DUMMYFUNCTION("IMPORTRANGE(""https://docs.google.com/spreadsheets/d/1SX6NBoVAgQJ6U1MVXOaj8PK2l7WJ3RER9xtqwdhxkhw/edit?usp=sharing"",""ราชบุรี!J325"")"),55)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IFERROR(__xludf.DUMMYFUNCTION("IMPORTRANGE(""https://docs.google.com/spreadsheets/d/1SX6NBoVAgQJ6U1MVXOaj8PK2l7WJ3RER9xtqwdhxkhw/edit?usp=sharing"",""ราชบุรี!I326"")"),30)</f>
        <v>30</v>
      </c>
      <c r="J431" s="394">
        <f ca="1">IFERROR(__xludf.DUMMYFUNCTION("IMPORTRANGE(""https://docs.google.com/spreadsheets/d/1SX6NBoVAgQJ6U1MVXOaj8PK2l7WJ3RER9xtqwdhxkhw/edit?usp=sharing"",""ราชบุรี!J326"")"),30)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IFERROR(__xludf.DUMMYFUNCTION("IMPORTRANGE(""https://docs.google.com/spreadsheets/d/1SX6NBoVAgQJ6U1MVXOaj8PK2l7WJ3RER9xtqwdhxkhw/edit?usp=sharing"",""ราชบุรี!I327"")"),25)</f>
        <v>25</v>
      </c>
      <c r="J432" s="394">
        <f ca="1">IFERROR(__xludf.DUMMYFUNCTION("IMPORTRANGE(""https://docs.google.com/spreadsheets/d/1SX6NBoVAgQJ6U1MVXOaj8PK2l7WJ3RER9xtqwdhxkhw/edit?usp=sharing"",""ราชบุรี!J327"")"),25)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IFERROR(__xludf.DUMMYFUNCTION("IMPORTRANGE(""https://docs.google.com/spreadsheets/d/1SX6NBoVAgQJ6U1MVXOaj8PK2l7WJ3RER9xtqwdhxkhw/edit?usp=sharing"",""ราชบุรี!J328"")"),0)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IFERROR(__xludf.DUMMYFUNCTION("IMPORTRANGE(""https://docs.google.com/spreadsheets/d/1SX6NBoVAgQJ6U1MVXOaj8PK2l7WJ3RER9xtqwdhxkhw/edit?usp=sharing"",""ราชบุรี!J329"")"),0)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IFERROR(__xludf.DUMMYFUNCTION("IMPORTRANGE(""https://docs.google.com/spreadsheets/d/1SX6NBoVAgQJ6U1MVXOaj8PK2l7WJ3RER9xtqwdhxkhw/edit?usp=sharing"",""ราชบุรี!I330"")"),20)</f>
        <v>20</v>
      </c>
      <c r="J435" s="410">
        <f ca="1">IFERROR(__xludf.DUMMYFUNCTION("IMPORTRANGE(""https://docs.google.com/spreadsheets/d/1SX6NBoVAgQJ6U1MVXOaj8PK2l7WJ3RER9xtqwdhxkhw/edit?usp=sharing"",""ราชบุรี!J330"")"),20)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IFERROR(__xludf.DUMMYFUNCTION("IMPORTRANGE(""https://docs.google.com/spreadsheets/d/1SX6NBoVAgQJ6U1MVXOaj8PK2l7WJ3RER9xtqwdhxkhw/edit?usp=sharing"",""ราชบุรี!L330"")"),100000)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IFERROR(__xludf.DUMMYFUNCTION("IMPORTRANGE(""https://docs.google.com/spreadsheets/d/1SX6NBoVAgQJ6U1MVXOaj8PK2l7WJ3RER9xtqwdhxkhw/edit?usp=sharing"",""ราชบุรี!M330"")"),81957.9599999999)</f>
        <v>81957.959999999905</v>
      </c>
      <c r="O435" s="412">
        <f t="shared" ref="O435:O439" ca="1" si="114">+IF(L435&gt;0,N435*100/L435,0)</f>
        <v>81.9579599999999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IFERROR(__xludf.DUMMYFUNCTION("IMPORTRANGE(""https://docs.google.com/spreadsheets/d/1SX6NBoVAgQJ6U1MVXOaj8PK2l7WJ3RER9xtqwdhxkhw/edit?usp=sharing"",""ราชบุรี!L331"")"),0)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IFERROR(__xludf.DUMMYFUNCTION("IMPORTRANGE(""https://docs.google.com/spreadsheets/d/1SX6NBoVAgQJ6U1MVXOaj8PK2l7WJ3RER9xtqwdhxkhw/edit?usp=sharing"",""ราชบุรี!M331"")"),0)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IFERROR(__xludf.DUMMYFUNCTION("IMPORTRANGE(""https://docs.google.com/spreadsheets/d/1SX6NBoVAgQJ6U1MVXOaj8PK2l7WJ3RER9xtqwdhxkhw/edit?usp=sharing"",""ราชบุรี!L332"")"),100000)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IFERROR(__xludf.DUMMYFUNCTION("IMPORTRANGE(""https://docs.google.com/spreadsheets/d/1SX6NBoVAgQJ6U1MVXOaj8PK2l7WJ3RER9xtqwdhxkhw/edit?usp=sharing"",""ราชบุรี!M332"")"),81957.9599999999)</f>
        <v>81957.959999999905</v>
      </c>
      <c r="O437" s="169">
        <f t="shared" ca="1" si="114"/>
        <v>81.9579599999999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IFERROR(__xludf.DUMMYFUNCTION("IMPORTRANGE(""https://docs.google.com/spreadsheets/d/1SX6NBoVAgQJ6U1MVXOaj8PK2l7WJ3RER9xtqwdhxkhw/edit?usp=sharing"",""ราชบุรี!L333"")"),0)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IFERROR(__xludf.DUMMYFUNCTION("IMPORTRANGE(""https://docs.google.com/spreadsheets/d/1SX6NBoVAgQJ6U1MVXOaj8PK2l7WJ3RER9xtqwdhxkhw/edit?usp=sharing"",""ราชบุรี!M333"")"),0)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IFERROR(__xludf.DUMMYFUNCTION("IMPORTRANGE(""https://docs.google.com/spreadsheets/d/1SX6NBoVAgQJ6U1MVXOaj8PK2l7WJ3RER9xtqwdhxkhw/edit?usp=sharing"",""ราชบุรี!L334"")"),100000)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IFERROR(__xludf.DUMMYFUNCTION("IMPORTRANGE(""https://docs.google.com/spreadsheets/d/1SX6NBoVAgQJ6U1MVXOaj8PK2l7WJ3RER9xtqwdhxkhw/edit?usp=sharing"",""ราชบุรี!M334"")"),81957.9599999999)</f>
        <v>81957.959999999905</v>
      </c>
      <c r="O439" s="169">
        <f t="shared" ca="1" si="114"/>
        <v>81.9579599999999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IFERROR(__xludf.DUMMYFUNCTION("IMPORTRANGE(""https://docs.google.com/spreadsheets/d/1SX6NBoVAgQJ6U1MVXOaj8PK2l7WJ3RER9xtqwdhxkhw/edit?usp=sharing"",""ราชบุรี!M335"")"),43840)</f>
        <v>43840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IFERROR(__xludf.DUMMYFUNCTION("IMPORTRANGE(""https://docs.google.com/spreadsheets/d/1SX6NBoVAgQJ6U1MVXOaj8PK2l7WJ3RER9xtqwdhxkhw/edit?usp=sharing"",""ราชบุรี!M336"")"),0)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IFERROR(__xludf.DUMMYFUNCTION("IMPORTRANGE(""https://docs.google.com/spreadsheets/d/1SX6NBoVAgQJ6U1MVXOaj8PK2l7WJ3RER9xtqwdhxkhw/edit?usp=sharing"",""ราชบุรี!M337"")"),0)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IFERROR(__xludf.DUMMYFUNCTION("IMPORTRANGE(""https://docs.google.com/spreadsheets/d/1SX6NBoVAgQJ6U1MVXOaj8PK2l7WJ3RER9xtqwdhxkhw/edit?usp=sharing"",""ราชบุรี!M338"")"),38117.96)</f>
        <v>38117.96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IFERROR(__xludf.DUMMYFUNCTION("IMPORTRANGE(""https://docs.google.com/spreadsheets/d/1SX6NBoVAgQJ6U1MVXOaj8PK2l7WJ3RER9xtqwdhxkhw/edit?usp=sharing"",""ราชบุรี!J340"")"),0)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IFERROR(__xludf.DUMMYFUNCTION("IMPORTRANGE(""https://docs.google.com/spreadsheets/d/1SX6NBoVAgQJ6U1MVXOaj8PK2l7WJ3RER9xtqwdhxkhw/edit?usp=sharing"",""ราชบุรี!J341"")"),1)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IFERROR(__xludf.DUMMYFUNCTION("IMPORTRANGE(""https://docs.google.com/spreadsheets/d/1SX6NBoVAgQJ6U1MVXOaj8PK2l7WJ3RER9xtqwdhxkhw/edit?usp=sharing"",""ราชบุรี!J342"")"),1)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IFERROR(__xludf.DUMMYFUNCTION("IMPORTRANGE(""https://docs.google.com/spreadsheets/d/1SX6NBoVAgQJ6U1MVXOaj8PK2l7WJ3RER9xtqwdhxkhw/edit?usp=sharing"",""ราชบุรี!J343"")"),1)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IFERROR(__xludf.DUMMYFUNCTION("IMPORTRANGE(""https://docs.google.com/spreadsheets/d/1SX6NBoVAgQJ6U1MVXOaj8PK2l7WJ3RER9xtqwdhxkhw/edit?usp=sharing"",""ราชบุรี!I344"")"),20)</f>
        <v>20</v>
      </c>
      <c r="J449" s="201">
        <f ca="1">IFERROR(__xludf.DUMMYFUNCTION("IMPORTRANGE(""https://docs.google.com/spreadsheets/d/1SX6NBoVAgQJ6U1MVXOaj8PK2l7WJ3RER9xtqwdhxkhw/edit?usp=sharing"",""ราชบุรี!J344"")"),20)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IFERROR(__xludf.DUMMYFUNCTION("IMPORTRANGE(""https://docs.google.com/spreadsheets/d/1SX6NBoVAgQJ6U1MVXOaj8PK2l7WJ3RER9xtqwdhxkhw/edit?usp=sharing"",""ราชบุรี!I345"")"),20)</f>
        <v>20</v>
      </c>
      <c r="J450" s="189">
        <f ca="1">IFERROR(__xludf.DUMMYFUNCTION("IMPORTRANGE(""https://docs.google.com/spreadsheets/d/1SX6NBoVAgQJ6U1MVXOaj8PK2l7WJ3RER9xtqwdhxkhw/edit?usp=sharing"",""ราชบุรี!J345"")"),20)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IFERROR(__xludf.DUMMYFUNCTION("IMPORTRANGE(""https://docs.google.com/spreadsheets/d/1SX6NBoVAgQJ6U1MVXOaj8PK2l7WJ3RER9xtqwdhxkhw/edit?usp=sharing"",""ราชบุรี!I346"")"),0)</f>
        <v>0</v>
      </c>
      <c r="J451" s="188">
        <f ca="1">IFERROR(__xludf.DUMMYFUNCTION("IMPORTRANGE(""https://docs.google.com/spreadsheets/d/1SX6NBoVAgQJ6U1MVXOaj8PK2l7WJ3RER9xtqwdhxkhw/edit?usp=sharing"",""ราชบุรี!J346"")"),0)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IFERROR(__xludf.DUMMYFUNCTION("IMPORTRANGE(""https://docs.google.com/spreadsheets/d/1SX6NBoVAgQJ6U1MVXOaj8PK2l7WJ3RER9xtqwdhxkhw/edit?usp=sharing"",""ราชบุรี!I347"")"),0)</f>
        <v>0</v>
      </c>
      <c r="J452" s="188">
        <f ca="1">IFERROR(__xludf.DUMMYFUNCTION("IMPORTRANGE(""https://docs.google.com/spreadsheets/d/1SX6NBoVAgQJ6U1MVXOaj8PK2l7WJ3RER9xtqwdhxkhw/edit?usp=sharing"",""ราชบุรี!J347"")"),0)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IFERROR(__xludf.DUMMYFUNCTION("IMPORTRANGE(""https://docs.google.com/spreadsheets/d/1SX6NBoVAgQJ6U1MVXOaj8PK2l7WJ3RER9xtqwdhxkhw/edit?usp=sharing"",""ราชบุรี!J348"")"),0)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IFERROR(__xludf.DUMMYFUNCTION("IMPORTRANGE(""https://docs.google.com/spreadsheets/d/1SX6NBoVAgQJ6U1MVXOaj8PK2l7WJ3RER9xtqwdhxkhw/edit?usp=sharing"",""ราชบุรี!J349"")"),0)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IFERROR(__xludf.DUMMYFUNCTION("IMPORTRANGE(""https://docs.google.com/spreadsheets/d/1SX6NBoVAgQJ6U1MVXOaj8PK2l7WJ3RER9xtqwdhxkhw/edit?usp=sharing"",""ราชบุรี!I350"")"),0)</f>
        <v>0</v>
      </c>
      <c r="J455" s="371">
        <f ca="1">IFERROR(__xludf.DUMMYFUNCTION("IMPORTRANGE(""https://docs.google.com/spreadsheets/d/1SX6NBoVAgQJ6U1MVXOaj8PK2l7WJ3RER9xtqwdhxkhw/edit?usp=sharing"",""ราชบุรี!J350"")"),0)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IFERROR(__xludf.DUMMYFUNCTION("IMPORTRANGE(""https://docs.google.com/spreadsheets/d/1SX6NBoVAgQJ6U1MVXOaj8PK2l7WJ3RER9xtqwdhxkhw/edit?usp=sharing"",""ราชบุรี!L350"")"),75712)</f>
        <v>75712</v>
      </c>
      <c r="M455" s="373"/>
      <c r="N455" s="373">
        <f ca="1">IFERROR(__xludf.DUMMYFUNCTION("IMPORTRANGE(""https://docs.google.com/spreadsheets/d/1SX6NBoVAgQJ6U1MVXOaj8PK2l7WJ3RER9xtqwdhxkhw/edit?usp=sharing"",""ราชบุรี!M350"")"),40535.66)</f>
        <v>40535.660000000003</v>
      </c>
      <c r="O455" s="373">
        <f t="shared" ref="O455:O459" ca="1" si="116">+IF(L455&gt;0,N455*100/L455,0)</f>
        <v>53.539280431107358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IFERROR(__xludf.DUMMYFUNCTION("IMPORTRANGE(""https://docs.google.com/spreadsheets/d/1SX6NBoVAgQJ6U1MVXOaj8PK2l7WJ3RER9xtqwdhxkhw/edit?usp=sharing"",""ราชบุรี!L351"")"),0)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IFERROR(__xludf.DUMMYFUNCTION("IMPORTRANGE(""https://docs.google.com/spreadsheets/d/1SX6NBoVAgQJ6U1MVXOaj8PK2l7WJ3RER9xtqwdhxkhw/edit?usp=sharing"",""ราชบุรี!M351"")"),0)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IFERROR(__xludf.DUMMYFUNCTION("IMPORTRANGE(""https://docs.google.com/spreadsheets/d/1SX6NBoVAgQJ6U1MVXOaj8PK2l7WJ3RER9xtqwdhxkhw/edit?usp=sharing"",""ราชบุรี!L352"")"),75712)</f>
        <v>75712</v>
      </c>
      <c r="M457" s="165"/>
      <c r="N457" s="169">
        <f ca="1">IFERROR(__xludf.DUMMYFUNCTION("IMPORTRANGE(""https://docs.google.com/spreadsheets/d/1SX6NBoVAgQJ6U1MVXOaj8PK2l7WJ3RER9xtqwdhxkhw/edit?usp=sharing"",""ราชบุรี!M352"")"),40535.66)</f>
        <v>40535.660000000003</v>
      </c>
      <c r="O457" s="169">
        <f t="shared" ca="1" si="116"/>
        <v>53.539280431107358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IFERROR(__xludf.DUMMYFUNCTION("IMPORTRANGE(""https://docs.google.com/spreadsheets/d/1SX6NBoVAgQJ6U1MVXOaj8PK2l7WJ3RER9xtqwdhxkhw/edit?usp=sharing"",""ราชบุรี!L353"")"),0)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IFERROR(__xludf.DUMMYFUNCTION("IMPORTRANGE(""https://docs.google.com/spreadsheets/d/1SX6NBoVAgQJ6U1MVXOaj8PK2l7WJ3RER9xtqwdhxkhw/edit?usp=sharing"",""ราชบุรี!M353"")"),0)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IFERROR(__xludf.DUMMYFUNCTION("IMPORTRANGE(""https://docs.google.com/spreadsheets/d/1SX6NBoVAgQJ6U1MVXOaj8PK2l7WJ3RER9xtqwdhxkhw/edit?usp=sharing"",""ราชบุรี!L354"")"),75712)</f>
        <v>75712</v>
      </c>
      <c r="M459" s="169"/>
      <c r="N459" s="169">
        <f ca="1">IFERROR(__xludf.DUMMYFUNCTION("IMPORTRANGE(""https://docs.google.com/spreadsheets/d/1SX6NBoVAgQJ6U1MVXOaj8PK2l7WJ3RER9xtqwdhxkhw/edit?usp=sharing"",""ราชบุรี!M354"")"),40535.66)</f>
        <v>40535.660000000003</v>
      </c>
      <c r="O459" s="169">
        <f t="shared" ca="1" si="116"/>
        <v>53.539280431107358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IFERROR(__xludf.DUMMYFUNCTION("IMPORTRANGE(""https://docs.google.com/spreadsheets/d/1SX6NBoVAgQJ6U1MVXOaj8PK2l7WJ3RER9xtqwdhxkhw/edit?usp=sharing"",""ราชบุรี!M355"")"),0)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IFERROR(__xludf.DUMMYFUNCTION("IMPORTRANGE(""https://docs.google.com/spreadsheets/d/1SX6NBoVAgQJ6U1MVXOaj8PK2l7WJ3RER9xtqwdhxkhw/edit?usp=sharing"",""ราชบุรี!M356"")"),0)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IFERROR(__xludf.DUMMYFUNCTION("IMPORTRANGE(""https://docs.google.com/spreadsheets/d/1SX6NBoVAgQJ6U1MVXOaj8PK2l7WJ3RER9xtqwdhxkhw/edit?usp=sharing"",""ราชบุรี!M357"")"),0)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IFERROR(__xludf.DUMMYFUNCTION("IMPORTRANGE(""https://docs.google.com/spreadsheets/d/1SX6NBoVAgQJ6U1MVXOaj8PK2l7WJ3RER9xtqwdhxkhw/edit?usp=sharing"",""ราชบุรี!M358"")"),40535.66)</f>
        <v>40535.660000000003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IFERROR(__xludf.DUMMYFUNCTION("IMPORTRANGE(""https://docs.google.com/spreadsheets/d/1SX6NBoVAgQJ6U1MVXOaj8PK2l7WJ3RER9xtqwdhxkhw/edit?usp=sharing"",""ราชบุรี!I359"")"),0)</f>
        <v>0</v>
      </c>
      <c r="J464" s="268">
        <f ca="1">IFERROR(__xludf.DUMMYFUNCTION("IMPORTRANGE(""https://docs.google.com/spreadsheets/d/1SX6NBoVAgQJ6U1MVXOaj8PK2l7WJ3RER9xtqwdhxkhw/edit?usp=sharing"",""ราชบุรี!J359"")"),0)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IFERROR(__xludf.DUMMYFUNCTION("IMPORTRANGE(""https://docs.google.com/spreadsheets/d/1SX6NBoVAgQJ6U1MVXOaj8PK2l7WJ3RER9xtqwdhxkhw/edit?usp=sharing"",""ราชบุรี!I360"")"),0)</f>
        <v>0</v>
      </c>
      <c r="J465" s="420">
        <f ca="1">IFERROR(__xludf.DUMMYFUNCTION("IMPORTRANGE(""https://docs.google.com/spreadsheets/d/1SX6NBoVAgQJ6U1MVXOaj8PK2l7WJ3RER9xtqwdhxkhw/edit?usp=sharing"",""ราชบุรี!J360"")"),0)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IFERROR(__xludf.DUMMYFUNCTION("IMPORTRANGE(""https://docs.google.com/spreadsheets/d/1SX6NBoVAgQJ6U1MVXOaj8PK2l7WJ3RER9xtqwdhxkhw/edit?usp=sharing"",""ราชบุรี!I361"")"),0)</f>
        <v>0</v>
      </c>
      <c r="J466" s="420">
        <f ca="1">IFERROR(__xludf.DUMMYFUNCTION("IMPORTRANGE(""https://docs.google.com/spreadsheets/d/1SX6NBoVAgQJ6U1MVXOaj8PK2l7WJ3RER9xtqwdhxkhw/edit?usp=sharing"",""ราชบุรี!J361"")"),0)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IFERROR(__xludf.DUMMYFUNCTION("IMPORTRANGE(""https://docs.google.com/spreadsheets/d/1SX6NBoVAgQJ6U1MVXOaj8PK2l7WJ3RER9xtqwdhxkhw/edit?usp=sharing"",""ราชบุรี!I362"")"),0)</f>
        <v>0</v>
      </c>
      <c r="J467" s="189">
        <f ca="1">IFERROR(__xludf.DUMMYFUNCTION("IMPORTRANGE(""https://docs.google.com/spreadsheets/d/1SX6NBoVAgQJ6U1MVXOaj8PK2l7WJ3RER9xtqwdhxkhw/edit?usp=sharing"",""ราชบุรี!J362"")"),0)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IFERROR(__xludf.DUMMYFUNCTION("IMPORTRANGE(""https://docs.google.com/spreadsheets/d/1SX6NBoVAgQJ6U1MVXOaj8PK2l7WJ3RER9xtqwdhxkhw/edit?usp=sharing"",""ราชบุรี!I363"")"),0)</f>
        <v>0</v>
      </c>
      <c r="J468" s="189">
        <f ca="1">IFERROR(__xludf.DUMMYFUNCTION("IMPORTRANGE(""https://docs.google.com/spreadsheets/d/1SX6NBoVAgQJ6U1MVXOaj8PK2l7WJ3RER9xtqwdhxkhw/edit?usp=sharing"",""ราชบุรี!J363"")"),0)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IFERROR(__xludf.DUMMYFUNCTION("IMPORTRANGE(""https://docs.google.com/spreadsheets/d/1SX6NBoVAgQJ6U1MVXOaj8PK2l7WJ3RER9xtqwdhxkhw/edit?usp=sharing"",""ราชบุรี!I364"")"),0)</f>
        <v>0</v>
      </c>
      <c r="J469" s="189">
        <f ca="1">IFERROR(__xludf.DUMMYFUNCTION("IMPORTRANGE(""https://docs.google.com/spreadsheets/d/1SX6NBoVAgQJ6U1MVXOaj8PK2l7WJ3RER9xtqwdhxkhw/edit?usp=sharing"",""ราชบุรี!J364"")"),0)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IFERROR(__xludf.DUMMYFUNCTION("IMPORTRANGE(""https://docs.google.com/spreadsheets/d/1SX6NBoVAgQJ6U1MVXOaj8PK2l7WJ3RER9xtqwdhxkhw/edit?usp=sharing"",""ราชบุรี!I365"")"),0)</f>
        <v>0</v>
      </c>
      <c r="J470" s="189">
        <f ca="1">IFERROR(__xludf.DUMMYFUNCTION("IMPORTRANGE(""https://docs.google.com/spreadsheets/d/1SX6NBoVAgQJ6U1MVXOaj8PK2l7WJ3RER9xtqwdhxkhw/edit?usp=sharing"",""ราชบุรี!J365"")"),0)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IFERROR(__xludf.DUMMYFUNCTION("IMPORTRANGE(""https://docs.google.com/spreadsheets/d/1SX6NBoVAgQJ6U1MVXOaj8PK2l7WJ3RER9xtqwdhxkhw/edit?usp=sharing"",""ราชบุรี!I366"")"),0)</f>
        <v>0</v>
      </c>
      <c r="J471" s="189">
        <f ca="1">IFERROR(__xludf.DUMMYFUNCTION("IMPORTRANGE(""https://docs.google.com/spreadsheets/d/1SX6NBoVAgQJ6U1MVXOaj8PK2l7WJ3RER9xtqwdhxkhw/edit?usp=sharing"",""ราชบุรี!J366"")"),0)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IFERROR(__xludf.DUMMYFUNCTION("IMPORTRANGE(""https://docs.google.com/spreadsheets/d/1SX6NBoVAgQJ6U1MVXOaj8PK2l7WJ3RER9xtqwdhxkhw/edit?usp=sharing"",""ราชบุรี!I367"")"),0)</f>
        <v>0</v>
      </c>
      <c r="J472" s="189">
        <f ca="1">IFERROR(__xludf.DUMMYFUNCTION("IMPORTRANGE(""https://docs.google.com/spreadsheets/d/1SX6NBoVAgQJ6U1MVXOaj8PK2l7WJ3RER9xtqwdhxkhw/edit?usp=sharing"",""ราชบุรี!J367"")"),0)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IFERROR(__xludf.DUMMYFUNCTION("IMPORTRANGE(""https://docs.google.com/spreadsheets/d/1SX6NBoVAgQJ6U1MVXOaj8PK2l7WJ3RER9xtqwdhxkhw/edit?usp=sharing"",""ราชบุรี!I368"")"),0)</f>
        <v>0</v>
      </c>
      <c r="J473" s="420">
        <f ca="1">IFERROR(__xludf.DUMMYFUNCTION("IMPORTRANGE(""https://docs.google.com/spreadsheets/d/1SX6NBoVAgQJ6U1MVXOaj8PK2l7WJ3RER9xtqwdhxkhw/edit?usp=sharing"",""ราชบุรี!J368"")"),0)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IFERROR(__xludf.DUMMYFUNCTION("IMPORTRANGE(""https://docs.google.com/spreadsheets/d/1SX6NBoVAgQJ6U1MVXOaj8PK2l7WJ3RER9xtqwdhxkhw/edit?usp=sharing"",""ราชบุรี!I369"")"),0)</f>
        <v>0</v>
      </c>
      <c r="J474" s="420">
        <f ca="1">IFERROR(__xludf.DUMMYFUNCTION("IMPORTRANGE(""https://docs.google.com/spreadsheets/d/1SX6NBoVAgQJ6U1MVXOaj8PK2l7WJ3RER9xtqwdhxkhw/edit?usp=sharing"",""ราชบุรี!J369"")"),0)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IFERROR(__xludf.DUMMYFUNCTION("IMPORTRANGE(""https://docs.google.com/spreadsheets/d/1SX6NBoVAgQJ6U1MVXOaj8PK2l7WJ3RER9xtqwdhxkhw/edit?usp=sharing"",""ราชบุรี!I370"")"),0)</f>
        <v>0</v>
      </c>
      <c r="J475" s="189">
        <f ca="1">IFERROR(__xludf.DUMMYFUNCTION("IMPORTRANGE(""https://docs.google.com/spreadsheets/d/1SX6NBoVAgQJ6U1MVXOaj8PK2l7WJ3RER9xtqwdhxkhw/edit?usp=sharing"",""ราชบุรี!J370"")"),0)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IFERROR(__xludf.DUMMYFUNCTION("IMPORTRANGE(""https://docs.google.com/spreadsheets/d/1SX6NBoVAgQJ6U1MVXOaj8PK2l7WJ3RER9xtqwdhxkhw/edit?usp=sharing"",""ราชบุรี!I371"")"),0)</f>
        <v>0</v>
      </c>
      <c r="J476" s="189">
        <f ca="1">IFERROR(__xludf.DUMMYFUNCTION("IMPORTRANGE(""https://docs.google.com/spreadsheets/d/1SX6NBoVAgQJ6U1MVXOaj8PK2l7WJ3RER9xtqwdhxkhw/edit?usp=sharing"",""ราชบุรี!J371"")"),0)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IFERROR(__xludf.DUMMYFUNCTION("IMPORTRANGE(""https://docs.google.com/spreadsheets/d/1SX6NBoVAgQJ6U1MVXOaj8PK2l7WJ3RER9xtqwdhxkhw/edit?usp=sharing"",""ราชบุรี!I372"")"),0)</f>
        <v>0</v>
      </c>
      <c r="J477" s="189">
        <f ca="1">IFERROR(__xludf.DUMMYFUNCTION("IMPORTRANGE(""https://docs.google.com/spreadsheets/d/1SX6NBoVAgQJ6U1MVXOaj8PK2l7WJ3RER9xtqwdhxkhw/edit?usp=sharing"",""ราชบุรี!J372"")"),0)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IFERROR(__xludf.DUMMYFUNCTION("IMPORTRANGE(""https://docs.google.com/spreadsheets/d/1SX6NBoVAgQJ6U1MVXOaj8PK2l7WJ3RER9xtqwdhxkhw/edit?usp=sharing"",""ราชบุรี!I373"")"),0)</f>
        <v>0</v>
      </c>
      <c r="J478" s="189">
        <f ca="1">IFERROR(__xludf.DUMMYFUNCTION("IMPORTRANGE(""https://docs.google.com/spreadsheets/d/1SX6NBoVAgQJ6U1MVXOaj8PK2l7WJ3RER9xtqwdhxkhw/edit?usp=sharing"",""ราชบุรี!J373"")"),0)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IFERROR(__xludf.DUMMYFUNCTION("IMPORTRANGE(""https://docs.google.com/spreadsheets/d/1SX6NBoVAgQJ6U1MVXOaj8PK2l7WJ3RER9xtqwdhxkhw/edit?usp=sharing"",""ราชบุรี!I374"")"),0)</f>
        <v>0</v>
      </c>
      <c r="J479" s="189">
        <f ca="1">IFERROR(__xludf.DUMMYFUNCTION("IMPORTRANGE(""https://docs.google.com/spreadsheets/d/1SX6NBoVAgQJ6U1MVXOaj8PK2l7WJ3RER9xtqwdhxkhw/edit?usp=sharing"",""ราชบุรี!J374"")"),0)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IFERROR(__xludf.DUMMYFUNCTION("IMPORTRANGE(""https://docs.google.com/spreadsheets/d/1SX6NBoVAgQJ6U1MVXOaj8PK2l7WJ3RER9xtqwdhxkhw/edit?usp=sharing"",""ราชบุรี!I375"")"),0)</f>
        <v>0</v>
      </c>
      <c r="J480" s="189">
        <f ca="1">IFERROR(__xludf.DUMMYFUNCTION("IMPORTRANGE(""https://docs.google.com/spreadsheets/d/1SX6NBoVAgQJ6U1MVXOaj8PK2l7WJ3RER9xtqwdhxkhw/edit?usp=sharing"",""ราชบุรี!J375"")"),0)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IFERROR(__xludf.DUMMYFUNCTION("IMPORTRANGE(""https://docs.google.com/spreadsheets/d/1SX6NBoVAgQJ6U1MVXOaj8PK2l7WJ3RER9xtqwdhxkhw/edit?usp=sharing"",""ราชบุรี!I376"")"),0)</f>
        <v>0</v>
      </c>
      <c r="J481" s="420">
        <f ca="1">IFERROR(__xludf.DUMMYFUNCTION("IMPORTRANGE(""https://docs.google.com/spreadsheets/d/1SX6NBoVAgQJ6U1MVXOaj8PK2l7WJ3RER9xtqwdhxkhw/edit?usp=sharing"",""ราชบุรี!J376"")"),0)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IFERROR(__xludf.DUMMYFUNCTION("IMPORTRANGE(""https://docs.google.com/spreadsheets/d/1SX6NBoVAgQJ6U1MVXOaj8PK2l7WJ3RER9xtqwdhxkhw/edit?usp=sharing"",""ราชบุรี!I377"")"),0)</f>
        <v>0</v>
      </c>
      <c r="J482" s="420">
        <f ca="1">IFERROR(__xludf.DUMMYFUNCTION("IMPORTRANGE(""https://docs.google.com/spreadsheets/d/1SX6NBoVAgQJ6U1MVXOaj8PK2l7WJ3RER9xtqwdhxkhw/edit?usp=sharing"",""ราชบุรี!J377"")"),0)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IFERROR(__xludf.DUMMYFUNCTION("IMPORTRANGE(""https://docs.google.com/spreadsheets/d/1SX6NBoVAgQJ6U1MVXOaj8PK2l7WJ3RER9xtqwdhxkhw/edit?usp=sharing"",""ราชบุรี!I378"")"),0)</f>
        <v>0</v>
      </c>
      <c r="J483" s="189">
        <f ca="1">IFERROR(__xludf.DUMMYFUNCTION("IMPORTRANGE(""https://docs.google.com/spreadsheets/d/1SX6NBoVAgQJ6U1MVXOaj8PK2l7WJ3RER9xtqwdhxkhw/edit?usp=sharing"",""ราชบุรี!J378"")"),0)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IFERROR(__xludf.DUMMYFUNCTION("IMPORTRANGE(""https://docs.google.com/spreadsheets/d/1SX6NBoVAgQJ6U1MVXOaj8PK2l7WJ3RER9xtqwdhxkhw/edit?usp=sharing"",""ราชบุรี!I379"")"),0)</f>
        <v>0</v>
      </c>
      <c r="J484" s="189">
        <f ca="1">IFERROR(__xludf.DUMMYFUNCTION("IMPORTRANGE(""https://docs.google.com/spreadsheets/d/1SX6NBoVAgQJ6U1MVXOaj8PK2l7WJ3RER9xtqwdhxkhw/edit?usp=sharing"",""ราชบุรี!J379"")"),0)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IFERROR(__xludf.DUMMYFUNCTION("IMPORTRANGE(""https://docs.google.com/spreadsheets/d/1SX6NBoVAgQJ6U1MVXOaj8PK2l7WJ3RER9xtqwdhxkhw/edit?usp=sharing"",""ราชบุรี!I380"")"),0)</f>
        <v>0</v>
      </c>
      <c r="J485" s="189">
        <f ca="1">IFERROR(__xludf.DUMMYFUNCTION("IMPORTRANGE(""https://docs.google.com/spreadsheets/d/1SX6NBoVAgQJ6U1MVXOaj8PK2l7WJ3RER9xtqwdhxkhw/edit?usp=sharing"",""ราชบุรี!J380"")"),0)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IFERROR(__xludf.DUMMYFUNCTION("IMPORTRANGE(""https://docs.google.com/spreadsheets/d/1SX6NBoVAgQJ6U1MVXOaj8PK2l7WJ3RER9xtqwdhxkhw/edit?usp=sharing"",""ราชบุรี!I381"")"),0)</f>
        <v>0</v>
      </c>
      <c r="J486" s="189">
        <f ca="1">IFERROR(__xludf.DUMMYFUNCTION("IMPORTRANGE(""https://docs.google.com/spreadsheets/d/1SX6NBoVAgQJ6U1MVXOaj8PK2l7WJ3RER9xtqwdhxkhw/edit?usp=sharing"",""ราชบุรี!J381"")"),0)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IFERROR(__xludf.DUMMYFUNCTION("IMPORTRANGE(""https://docs.google.com/spreadsheets/d/1SX6NBoVAgQJ6U1MVXOaj8PK2l7WJ3RER9xtqwdhxkhw/edit?usp=sharing"",""ราชบุรี!I382"")"),0)</f>
        <v>0</v>
      </c>
      <c r="J487" s="420">
        <f ca="1">IFERROR(__xludf.DUMMYFUNCTION("IMPORTRANGE(""https://docs.google.com/spreadsheets/d/1SX6NBoVAgQJ6U1MVXOaj8PK2l7WJ3RER9xtqwdhxkhw/edit?usp=sharing"",""ราชบุรี!J382"")"),0)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IFERROR(__xludf.DUMMYFUNCTION("IMPORTRANGE(""https://docs.google.com/spreadsheets/d/1SX6NBoVAgQJ6U1MVXOaj8PK2l7WJ3RER9xtqwdhxkhw/edit?usp=sharing"",""ราชบุรี!I383"")"),0)</f>
        <v>0</v>
      </c>
      <c r="J488" s="420">
        <f ca="1">IFERROR(__xludf.DUMMYFUNCTION("IMPORTRANGE(""https://docs.google.com/spreadsheets/d/1SX6NBoVAgQJ6U1MVXOaj8PK2l7WJ3RER9xtqwdhxkhw/edit?usp=sharing"",""ราชบุรี!J383"")"),0)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IFERROR(__xludf.DUMMYFUNCTION("IMPORTRANGE(""https://docs.google.com/spreadsheets/d/1SX6NBoVAgQJ6U1MVXOaj8PK2l7WJ3RER9xtqwdhxkhw/edit?usp=sharing"",""ราชบุรี!I384"")"),0)</f>
        <v>0</v>
      </c>
      <c r="J489" s="189">
        <f ca="1">IFERROR(__xludf.DUMMYFUNCTION("IMPORTRANGE(""https://docs.google.com/spreadsheets/d/1SX6NBoVAgQJ6U1MVXOaj8PK2l7WJ3RER9xtqwdhxkhw/edit?usp=sharing"",""ราชบุรี!J384"")"),0)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IFERROR(__xludf.DUMMYFUNCTION("IMPORTRANGE(""https://docs.google.com/spreadsheets/d/1SX6NBoVAgQJ6U1MVXOaj8PK2l7WJ3RER9xtqwdhxkhw/edit?usp=sharing"",""ราชบุรี!I385"")"),0)</f>
        <v>0</v>
      </c>
      <c r="J490" s="189">
        <f ca="1">IFERROR(__xludf.DUMMYFUNCTION("IMPORTRANGE(""https://docs.google.com/spreadsheets/d/1SX6NBoVAgQJ6U1MVXOaj8PK2l7WJ3RER9xtqwdhxkhw/edit?usp=sharing"",""ราชบุรี!J385"")"),0)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IFERROR(__xludf.DUMMYFUNCTION("IMPORTRANGE(""https://docs.google.com/spreadsheets/d/1SX6NBoVAgQJ6U1MVXOaj8PK2l7WJ3RER9xtqwdhxkhw/edit?usp=sharing"",""ราชบุรี!I386"")"),0)</f>
        <v>0</v>
      </c>
      <c r="J491" s="189">
        <f ca="1">IFERROR(__xludf.DUMMYFUNCTION("IMPORTRANGE(""https://docs.google.com/spreadsheets/d/1SX6NBoVAgQJ6U1MVXOaj8PK2l7WJ3RER9xtqwdhxkhw/edit?usp=sharing"",""ราชบุรี!J386"")"),0)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IFERROR(__xludf.DUMMYFUNCTION("IMPORTRANGE(""https://docs.google.com/spreadsheets/d/1SX6NBoVAgQJ6U1MVXOaj8PK2l7WJ3RER9xtqwdhxkhw/edit?usp=sharing"",""ราชบุรี!I387"")"),0)</f>
        <v>0</v>
      </c>
      <c r="J492" s="189">
        <f ca="1">IFERROR(__xludf.DUMMYFUNCTION("IMPORTRANGE(""https://docs.google.com/spreadsheets/d/1SX6NBoVAgQJ6U1MVXOaj8PK2l7WJ3RER9xtqwdhxkhw/edit?usp=sharing"",""ราชบุรี!J387"")"),0)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IFERROR(__xludf.DUMMYFUNCTION("IMPORTRANGE(""https://docs.google.com/spreadsheets/d/1SX6NBoVAgQJ6U1MVXOaj8PK2l7WJ3RER9xtqwdhxkhw/edit?usp=sharing"",""ราชบุรี!I388"")"),0)</f>
        <v>0</v>
      </c>
      <c r="J493" s="189">
        <f ca="1">IFERROR(__xludf.DUMMYFUNCTION("IMPORTRANGE(""https://docs.google.com/spreadsheets/d/1SX6NBoVAgQJ6U1MVXOaj8PK2l7WJ3RER9xtqwdhxkhw/edit?usp=sharing"",""ราชบุรี!J388"")"),0)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IFERROR(__xludf.DUMMYFUNCTION("IMPORTRANGE(""https://docs.google.com/spreadsheets/d/1SX6NBoVAgQJ6U1MVXOaj8PK2l7WJ3RER9xtqwdhxkhw/edit?usp=sharing"",""ราชบุรี!I389"")"),0)</f>
        <v>0</v>
      </c>
      <c r="J494" s="436">
        <f ca="1">IFERROR(__xludf.DUMMYFUNCTION("IMPORTRANGE(""https://docs.google.com/spreadsheets/d/1SX6NBoVAgQJ6U1MVXOaj8PK2l7WJ3RER9xtqwdhxkhw/edit?usp=sharing"",""ราชบุรี!J389"")"),0)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IFERROR(__xludf.DUMMYFUNCTION("IMPORTRANGE(""https://docs.google.com/spreadsheets/d/1SX6NBoVAgQJ6U1MVXOaj8PK2l7WJ3RER9xtqwdhxkhw/edit?usp=sharing"",""ราชบุรี!I390"")"),0)</f>
        <v>0</v>
      </c>
      <c r="J495" s="436">
        <f ca="1">IFERROR(__xludf.DUMMYFUNCTION("IMPORTRANGE(""https://docs.google.com/spreadsheets/d/1SX6NBoVAgQJ6U1MVXOaj8PK2l7WJ3RER9xtqwdhxkhw/edit?usp=sharing"",""ราชบุรี!J390"")"),0)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IFERROR(__xludf.DUMMYFUNCTION("IMPORTRANGE(""https://docs.google.com/spreadsheets/d/1SX6NBoVAgQJ6U1MVXOaj8PK2l7WJ3RER9xtqwdhxkhw/edit?usp=sharing"",""ราชบุรี!I391"")"),0)</f>
        <v>0</v>
      </c>
      <c r="J496" s="436">
        <f ca="1">IFERROR(__xludf.DUMMYFUNCTION("IMPORTRANGE(""https://docs.google.com/spreadsheets/d/1SX6NBoVAgQJ6U1MVXOaj8PK2l7WJ3RER9xtqwdhxkhw/edit?usp=sharing"",""ราชบุรี!J391"")"),0)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IFERROR(__xludf.DUMMYFUNCTION("IMPORTRANGE(""https://docs.google.com/spreadsheets/d/1SX6NBoVAgQJ6U1MVXOaj8PK2l7WJ3RER9xtqwdhxkhw/edit?usp=sharing"",""ราชบุรี!I392"")"),1712)</f>
        <v>1712</v>
      </c>
      <c r="J497" s="443">
        <f ca="1">IFERROR(__xludf.DUMMYFUNCTION("IMPORTRANGE(""https://docs.google.com/spreadsheets/d/1SX6NBoVAgQJ6U1MVXOaj8PK2l7WJ3RER9xtqwdhxkhw/edit?usp=sharing"",""ราชบุรี!J392"")"),1430)</f>
        <v>1430</v>
      </c>
      <c r="K497" s="444">
        <f t="shared" ca="1" si="117"/>
        <v>83.528037383177576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IFERROR(__xludf.DUMMYFUNCTION("IMPORTRANGE(""https://docs.google.com/spreadsheets/d/1SX6NBoVAgQJ6U1MVXOaj8PK2l7WJ3RER9xtqwdhxkhw/edit?usp=sharing"",""ราชบุรี!I393"")"),1712)</f>
        <v>1712</v>
      </c>
      <c r="J498" s="420">
        <f ca="1">IFERROR(__xludf.DUMMYFUNCTION("IMPORTRANGE(""https://docs.google.com/spreadsheets/d/1SX6NBoVAgQJ6U1MVXOaj8PK2l7WJ3RER9xtqwdhxkhw/edit?usp=sharing"",""ราชบุรี!J393"")"),1430)</f>
        <v>1430</v>
      </c>
      <c r="K498" s="202">
        <f t="shared" ca="1" si="117"/>
        <v>83.528037383177576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IFERROR(__xludf.DUMMYFUNCTION("IMPORTRANGE(""https://docs.google.com/spreadsheets/d/1SX6NBoVAgQJ6U1MVXOaj8PK2l7WJ3RER9xtqwdhxkhw/edit?usp=sharing"",""ราชบุรี!I394"")"),117)</f>
        <v>117</v>
      </c>
      <c r="J499" s="420">
        <f ca="1">IFERROR(__xludf.DUMMYFUNCTION("IMPORTRANGE(""https://docs.google.com/spreadsheets/d/1SX6NBoVAgQJ6U1MVXOaj8PK2l7WJ3RER9xtqwdhxkhw/edit?usp=sharing"",""ราชบุรี!J394"")"),96)</f>
        <v>96</v>
      </c>
      <c r="K499" s="202">
        <f t="shared" ca="1" si="117"/>
        <v>82.051282051282058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IFERROR(__xludf.DUMMYFUNCTION("IMPORTRANGE(""https://docs.google.com/spreadsheets/d/1SX6NBoVAgQJ6U1MVXOaj8PK2l7WJ3RER9xtqwdhxkhw/edit?usp=sharing"",""ราชบุรี!I395"")"),0)</f>
        <v>0</v>
      </c>
      <c r="J500" s="162">
        <f ca="1">IFERROR(__xludf.DUMMYFUNCTION("IMPORTRANGE(""https://docs.google.com/spreadsheets/d/1SX6NBoVAgQJ6U1MVXOaj8PK2l7WJ3RER9xtqwdhxkhw/edit?usp=sharing"",""ราชบุรี!J395"")"),1422)</f>
        <v>1422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IFERROR(__xludf.DUMMYFUNCTION("IMPORTRANGE(""https://docs.google.com/spreadsheets/d/1SX6NBoVAgQJ6U1MVXOaj8PK2l7WJ3RER9xtqwdhxkhw/edit?usp=sharing"",""ราชบุรี!I396"")"),0)</f>
        <v>0</v>
      </c>
      <c r="J501" s="162">
        <f ca="1">IFERROR(__xludf.DUMMYFUNCTION("IMPORTRANGE(""https://docs.google.com/spreadsheets/d/1SX6NBoVAgQJ6U1MVXOaj8PK2l7WJ3RER9xtqwdhxkhw/edit?usp=sharing"",""ราชบุรี!J396"")"),95)</f>
        <v>95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IFERROR(__xludf.DUMMYFUNCTION("IMPORTRANGE(""https://docs.google.com/spreadsheets/d/1SX6NBoVAgQJ6U1MVXOaj8PK2l7WJ3RER9xtqwdhxkhw/edit?usp=sharing"",""ราชบุรี!I397"")"),0)</f>
        <v>0</v>
      </c>
      <c r="J502" s="189">
        <f ca="1">IFERROR(__xludf.DUMMYFUNCTION("IMPORTRANGE(""https://docs.google.com/spreadsheets/d/1SX6NBoVAgQJ6U1MVXOaj8PK2l7WJ3RER9xtqwdhxkhw/edit?usp=sharing"",""ราชบุรี!J397"")"),1422)</f>
        <v>1422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IFERROR(__xludf.DUMMYFUNCTION("IMPORTRANGE(""https://docs.google.com/spreadsheets/d/1SX6NBoVAgQJ6U1MVXOaj8PK2l7WJ3RER9xtqwdhxkhw/edit?usp=sharing"",""ราชบุรี!I398"")"),0)</f>
        <v>0</v>
      </c>
      <c r="J503" s="198">
        <f ca="1">IFERROR(__xludf.DUMMYFUNCTION("IMPORTRANGE(""https://docs.google.com/spreadsheets/d/1SX6NBoVAgQJ6U1MVXOaj8PK2l7WJ3RER9xtqwdhxkhw/edit?usp=sharing"",""ราชบุรี!J398"")"),95)</f>
        <v>95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IFERROR(__xludf.DUMMYFUNCTION("IMPORTRANGE(""https://docs.google.com/spreadsheets/d/1SX6NBoVAgQJ6U1MVXOaj8PK2l7WJ3RER9xtqwdhxkhw/edit?usp=sharing"",""ราชบุรี!I399"")"),0)</f>
        <v>0</v>
      </c>
      <c r="J504" s="189">
        <f ca="1">IFERROR(__xludf.DUMMYFUNCTION("IMPORTRANGE(""https://docs.google.com/spreadsheets/d/1SX6NBoVAgQJ6U1MVXOaj8PK2l7WJ3RER9xtqwdhxkhw/edit?usp=sharing"",""ราชบุรี!J399"")"),0)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IFERROR(__xludf.DUMMYFUNCTION("IMPORTRANGE(""https://docs.google.com/spreadsheets/d/1SX6NBoVAgQJ6U1MVXOaj8PK2l7WJ3RER9xtqwdhxkhw/edit?usp=sharing"",""ราชบุรี!I400"")"),0)</f>
        <v>0</v>
      </c>
      <c r="J505" s="198">
        <f ca="1">IFERROR(__xludf.DUMMYFUNCTION("IMPORTRANGE(""https://docs.google.com/spreadsheets/d/1SX6NBoVAgQJ6U1MVXOaj8PK2l7WJ3RER9xtqwdhxkhw/edit?usp=sharing"",""ราชบุรี!J400"")"),0)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IFERROR(__xludf.DUMMYFUNCTION("IMPORTRANGE(""https://docs.google.com/spreadsheets/d/1SX6NBoVAgQJ6U1MVXOaj8PK2l7WJ3RER9xtqwdhxkhw/edit?usp=sharing"",""ราชบุรี!I401"")"),0)</f>
        <v>0</v>
      </c>
      <c r="J506" s="189">
        <f ca="1">IFERROR(__xludf.DUMMYFUNCTION("IMPORTRANGE(""https://docs.google.com/spreadsheets/d/1SX6NBoVAgQJ6U1MVXOaj8PK2l7WJ3RER9xtqwdhxkhw/edit?usp=sharing"",""ราชบุรี!J401"")"),0)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IFERROR(__xludf.DUMMYFUNCTION("IMPORTRANGE(""https://docs.google.com/spreadsheets/d/1SX6NBoVAgQJ6U1MVXOaj8PK2l7WJ3RER9xtqwdhxkhw/edit?usp=sharing"",""ราชบุรี!I402"")"),0)</f>
        <v>0</v>
      </c>
      <c r="J507" s="198">
        <f ca="1">IFERROR(__xludf.DUMMYFUNCTION("IMPORTRANGE(""https://docs.google.com/spreadsheets/d/1SX6NBoVAgQJ6U1MVXOaj8PK2l7WJ3RER9xtqwdhxkhw/edit?usp=sharing"",""ราชบุรี!J402"")"),0)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IFERROR(__xludf.DUMMYFUNCTION("IMPORTRANGE(""https://docs.google.com/spreadsheets/d/1SX6NBoVAgQJ6U1MVXOaj8PK2l7WJ3RER9xtqwdhxkhw/edit?usp=sharing"",""ราชบุรี!I403"")"),0)</f>
        <v>0</v>
      </c>
      <c r="J508" s="162">
        <f ca="1">IFERROR(__xludf.DUMMYFUNCTION("IMPORTRANGE(""https://docs.google.com/spreadsheets/d/1SX6NBoVAgQJ6U1MVXOaj8PK2l7WJ3RER9xtqwdhxkhw/edit?usp=sharing"",""ราชบุรี!J403"")"),8)</f>
        <v>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IFERROR(__xludf.DUMMYFUNCTION("IMPORTRANGE(""https://docs.google.com/spreadsheets/d/1SX6NBoVAgQJ6U1MVXOaj8PK2l7WJ3RER9xtqwdhxkhw/edit?usp=sharing"",""ราชบุรี!I404"")"),0)</f>
        <v>0</v>
      </c>
      <c r="J509" s="162">
        <f ca="1">IFERROR(__xludf.DUMMYFUNCTION("IMPORTRANGE(""https://docs.google.com/spreadsheets/d/1SX6NBoVAgQJ6U1MVXOaj8PK2l7WJ3RER9xtqwdhxkhw/edit?usp=sharing"",""ราชบุรี!J404"")"),1)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IFERROR(__xludf.DUMMYFUNCTION("IMPORTRANGE(""https://docs.google.com/spreadsheets/d/1SX6NBoVAgQJ6U1MVXOaj8PK2l7WJ3RER9xtqwdhxkhw/edit?usp=sharing"",""ราชบุรี!I405"")"),0)</f>
        <v>0</v>
      </c>
      <c r="J510" s="198">
        <f ca="1">IFERROR(__xludf.DUMMYFUNCTION("IMPORTRANGE(""https://docs.google.com/spreadsheets/d/1SX6NBoVAgQJ6U1MVXOaj8PK2l7WJ3RER9xtqwdhxkhw/edit?usp=sharing"",""ราชบุรี!J405"")"),8)</f>
        <v>8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IFERROR(__xludf.DUMMYFUNCTION("IMPORTRANGE(""https://docs.google.com/spreadsheets/d/1SX6NBoVAgQJ6U1MVXOaj8PK2l7WJ3RER9xtqwdhxkhw/edit?usp=sharing"",""ราชบุรี!I406"")"),0)</f>
        <v>0</v>
      </c>
      <c r="J511" s="198">
        <f ca="1">IFERROR(__xludf.DUMMYFUNCTION("IMPORTRANGE(""https://docs.google.com/spreadsheets/d/1SX6NBoVAgQJ6U1MVXOaj8PK2l7WJ3RER9xtqwdhxkhw/edit?usp=sharing"",""ราชบุรี!J406"")"),1)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IFERROR(__xludf.DUMMYFUNCTION("IMPORTRANGE(""https://docs.google.com/spreadsheets/d/1SX6NBoVAgQJ6U1MVXOaj8PK2l7WJ3RER9xtqwdhxkhw/edit?usp=sharing"",""ราชบุรี!I407"")"),0)</f>
        <v>0</v>
      </c>
      <c r="J512" s="198">
        <f ca="1">IFERROR(__xludf.DUMMYFUNCTION("IMPORTRANGE(""https://docs.google.com/spreadsheets/d/1SX6NBoVAgQJ6U1MVXOaj8PK2l7WJ3RER9xtqwdhxkhw/edit?usp=sharing"",""ราชบุรี!J407"")"),0)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IFERROR(__xludf.DUMMYFUNCTION("IMPORTRANGE(""https://docs.google.com/spreadsheets/d/1SX6NBoVAgQJ6U1MVXOaj8PK2l7WJ3RER9xtqwdhxkhw/edit?usp=sharing"",""ราชบุรี!I408"")"),0)</f>
        <v>0</v>
      </c>
      <c r="J513" s="198">
        <f ca="1">IFERROR(__xludf.DUMMYFUNCTION("IMPORTRANGE(""https://docs.google.com/spreadsheets/d/1SX6NBoVAgQJ6U1MVXOaj8PK2l7WJ3RER9xtqwdhxkhw/edit?usp=sharing"",""ราชบุรี!J408"")"),0)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IFERROR(__xludf.DUMMYFUNCTION("IMPORTRANGE(""https://docs.google.com/spreadsheets/d/1SX6NBoVAgQJ6U1MVXOaj8PK2l7WJ3RER9xtqwdhxkhw/edit?usp=sharing"",""ราชบุรี!I409"")"),0)</f>
        <v>0</v>
      </c>
      <c r="J514" s="198">
        <f ca="1">IFERROR(__xludf.DUMMYFUNCTION("IMPORTRANGE(""https://docs.google.com/spreadsheets/d/1SX6NBoVAgQJ6U1MVXOaj8PK2l7WJ3RER9xtqwdhxkhw/edit?usp=sharing"",""ราชบุรี!J409"")"),0)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IFERROR(__xludf.DUMMYFUNCTION("IMPORTRANGE(""https://docs.google.com/spreadsheets/d/1SX6NBoVAgQJ6U1MVXOaj8PK2l7WJ3RER9xtqwdhxkhw/edit?usp=sharing"",""ราชบุรี!I410"")"),0)</f>
        <v>0</v>
      </c>
      <c r="J515" s="198">
        <f ca="1">IFERROR(__xludf.DUMMYFUNCTION("IMPORTRANGE(""https://docs.google.com/spreadsheets/d/1SX6NBoVAgQJ6U1MVXOaj8PK2l7WJ3RER9xtqwdhxkhw/edit?usp=sharing"",""ราชบุรี!J410"")"),0)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IFERROR(__xludf.DUMMYFUNCTION("IMPORTRANGE(""https://docs.google.com/spreadsheets/d/1SX6NBoVAgQJ6U1MVXOaj8PK2l7WJ3RER9xtqwdhxkhw/edit?usp=sharing"",""ราชบุรี!I411"")"),0)</f>
        <v>0</v>
      </c>
      <c r="J516" s="268">
        <f ca="1">IFERROR(__xludf.DUMMYFUNCTION("IMPORTRANGE(""https://docs.google.com/spreadsheets/d/1SX6NBoVAgQJ6U1MVXOaj8PK2l7WJ3RER9xtqwdhxkhw/edit?usp=sharing"",""ราชบุรี!J411"")"),0)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IFERROR(__xludf.DUMMYFUNCTION("IMPORTRANGE(""https://docs.google.com/spreadsheets/d/1SX6NBoVAgQJ6U1MVXOaj8PK2l7WJ3RER9xtqwdhxkhw/edit?usp=sharing"",""ราชบุรี!I412"")"),0)</f>
        <v>0</v>
      </c>
      <c r="J517" s="285">
        <f ca="1">IFERROR(__xludf.DUMMYFUNCTION("IMPORTRANGE(""https://docs.google.com/spreadsheets/d/1SX6NBoVAgQJ6U1MVXOaj8PK2l7WJ3RER9xtqwdhxkhw/edit?usp=sharing"",""ราชบุรี!J412"")"),0)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IFERROR(__xludf.DUMMYFUNCTION("IMPORTRANGE(""https://docs.google.com/spreadsheets/d/1SX6NBoVAgQJ6U1MVXOaj8PK2l7WJ3RER9xtqwdhxkhw/edit?usp=sharing"",""ราชบุรี!I413"")"),0)</f>
        <v>0</v>
      </c>
      <c r="J518" s="285">
        <f ca="1">IFERROR(__xludf.DUMMYFUNCTION("IMPORTRANGE(""https://docs.google.com/spreadsheets/d/1SX6NBoVAgQJ6U1MVXOaj8PK2l7WJ3RER9xtqwdhxkhw/edit?usp=sharing"",""ราชบุรี!J413"")"),0)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IFERROR(__xludf.DUMMYFUNCTION("IMPORTRANGE(""https://docs.google.com/spreadsheets/d/1SX6NBoVAgQJ6U1MVXOaj8PK2l7WJ3RER9xtqwdhxkhw/edit?usp=sharing"",""ราชบุรี!I414"")"),0)</f>
        <v>0</v>
      </c>
      <c r="J519" s="188">
        <f ca="1">IFERROR(__xludf.DUMMYFUNCTION("IMPORTRANGE(""https://docs.google.com/spreadsheets/d/1SX6NBoVAgQJ6U1MVXOaj8PK2l7WJ3RER9xtqwdhxkhw/edit?usp=sharing"",""ราชบุรี!J414"")"),0)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IFERROR(__xludf.DUMMYFUNCTION("IMPORTRANGE(""https://docs.google.com/spreadsheets/d/1SX6NBoVAgQJ6U1MVXOaj8PK2l7WJ3RER9xtqwdhxkhw/edit?usp=sharing"",""ราชบุรี!I415"")"),0)</f>
        <v>0</v>
      </c>
      <c r="J520" s="188">
        <f ca="1">IFERROR(__xludf.DUMMYFUNCTION("IMPORTRANGE(""https://docs.google.com/spreadsheets/d/1SX6NBoVAgQJ6U1MVXOaj8PK2l7WJ3RER9xtqwdhxkhw/edit?usp=sharing"",""ราชบุรี!J415"")"),0)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IFERROR(__xludf.DUMMYFUNCTION("IMPORTRANGE(""https://docs.google.com/spreadsheets/d/1SX6NBoVAgQJ6U1MVXOaj8PK2l7WJ3RER9xtqwdhxkhw/edit?usp=sharing"",""ราชบุรี!I416"")"),0)</f>
        <v>0</v>
      </c>
      <c r="J521" s="188">
        <f ca="1">IFERROR(__xludf.DUMMYFUNCTION("IMPORTRANGE(""https://docs.google.com/spreadsheets/d/1SX6NBoVAgQJ6U1MVXOaj8PK2l7WJ3RER9xtqwdhxkhw/edit?usp=sharing"",""ราชบุรี!J416"")"),0)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IFERROR(__xludf.DUMMYFUNCTION("IMPORTRANGE(""https://docs.google.com/spreadsheets/d/1SX6NBoVAgQJ6U1MVXOaj8PK2l7WJ3RER9xtqwdhxkhw/edit?usp=sharing"",""ราชบุรี!I417"")"),0)</f>
        <v>0</v>
      </c>
      <c r="J522" s="188">
        <f ca="1">IFERROR(__xludf.DUMMYFUNCTION("IMPORTRANGE(""https://docs.google.com/spreadsheets/d/1SX6NBoVAgQJ6U1MVXOaj8PK2l7WJ3RER9xtqwdhxkhw/edit?usp=sharing"",""ราชบุรี!J417"")"),0)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IFERROR(__xludf.DUMMYFUNCTION("IMPORTRANGE(""https://docs.google.com/spreadsheets/d/1SX6NBoVAgQJ6U1MVXOaj8PK2l7WJ3RER9xtqwdhxkhw/edit?usp=sharing"",""ราชบุรี!I418"")"),0)</f>
        <v>0</v>
      </c>
      <c r="J523" s="188">
        <f ca="1">IFERROR(__xludf.DUMMYFUNCTION("IMPORTRANGE(""https://docs.google.com/spreadsheets/d/1SX6NBoVAgQJ6U1MVXOaj8PK2l7WJ3RER9xtqwdhxkhw/edit?usp=sharing"",""ราชบุรี!J418"")"),0)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IFERROR(__xludf.DUMMYFUNCTION("IMPORTRANGE(""https://docs.google.com/spreadsheets/d/1SX6NBoVAgQJ6U1MVXOaj8PK2l7WJ3RER9xtqwdhxkhw/edit?usp=sharing"",""ราชบุรี!I419"")"),0)</f>
        <v>0</v>
      </c>
      <c r="J524" s="188">
        <f ca="1">IFERROR(__xludf.DUMMYFUNCTION("IMPORTRANGE(""https://docs.google.com/spreadsheets/d/1SX6NBoVAgQJ6U1MVXOaj8PK2l7WJ3RER9xtqwdhxkhw/edit?usp=sharing"",""ราชบุรี!J419"")"),0)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IFERROR(__xludf.DUMMYFUNCTION("IMPORTRANGE(""https://docs.google.com/spreadsheets/d/1SX6NBoVAgQJ6U1MVXOaj8PK2l7WJ3RER9xtqwdhxkhw/edit?usp=sharing"",""ราชบุรี!I420"")"),0)</f>
        <v>0</v>
      </c>
      <c r="J525" s="285">
        <f ca="1">IFERROR(__xludf.DUMMYFUNCTION("IMPORTRANGE(""https://docs.google.com/spreadsheets/d/1SX6NBoVAgQJ6U1MVXOaj8PK2l7WJ3RER9xtqwdhxkhw/edit?usp=sharing"",""ราชบุรี!J420"")"),0)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IFERROR(__xludf.DUMMYFUNCTION("IMPORTRANGE(""https://docs.google.com/spreadsheets/d/1SX6NBoVAgQJ6U1MVXOaj8PK2l7WJ3RER9xtqwdhxkhw/edit?usp=sharing"",""ราชบุรี!I421"")"),0)</f>
        <v>0</v>
      </c>
      <c r="J526" s="285">
        <f ca="1">IFERROR(__xludf.DUMMYFUNCTION("IMPORTRANGE(""https://docs.google.com/spreadsheets/d/1SX6NBoVAgQJ6U1MVXOaj8PK2l7WJ3RER9xtqwdhxkhw/edit?usp=sharing"",""ราชบุรี!J421"")"),0)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IFERROR(__xludf.DUMMYFUNCTION("IMPORTRANGE(""https://docs.google.com/spreadsheets/d/1SX6NBoVAgQJ6U1MVXOaj8PK2l7WJ3RER9xtqwdhxkhw/edit?usp=sharing"",""ราชบุรี!I422"")"),0)</f>
        <v>0</v>
      </c>
      <c r="J527" s="198">
        <f ca="1">IFERROR(__xludf.DUMMYFUNCTION("IMPORTRANGE(""https://docs.google.com/spreadsheets/d/1SX6NBoVAgQJ6U1MVXOaj8PK2l7WJ3RER9xtqwdhxkhw/edit?usp=sharing"",""ราชบุรี!J422"")"),0)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IFERROR(__xludf.DUMMYFUNCTION("IMPORTRANGE(""https://docs.google.com/spreadsheets/d/1SX6NBoVAgQJ6U1MVXOaj8PK2l7WJ3RER9xtqwdhxkhw/edit?usp=sharing"",""ราชบุรี!I423"")"),0)</f>
        <v>0</v>
      </c>
      <c r="J528" s="198">
        <f ca="1">IFERROR(__xludf.DUMMYFUNCTION("IMPORTRANGE(""https://docs.google.com/spreadsheets/d/1SX6NBoVAgQJ6U1MVXOaj8PK2l7WJ3RER9xtqwdhxkhw/edit?usp=sharing"",""ราชบุรี!J423"")"),0)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IFERROR(__xludf.DUMMYFUNCTION("IMPORTRANGE(""https://docs.google.com/spreadsheets/d/1SX6NBoVAgQJ6U1MVXOaj8PK2l7WJ3RER9xtqwdhxkhw/edit?usp=sharing"",""ราชบุรี!I424"")"),0)</f>
        <v>0</v>
      </c>
      <c r="J529" s="198">
        <f ca="1">IFERROR(__xludf.DUMMYFUNCTION("IMPORTRANGE(""https://docs.google.com/spreadsheets/d/1SX6NBoVAgQJ6U1MVXOaj8PK2l7WJ3RER9xtqwdhxkhw/edit?usp=sharing"",""ราชบุรี!J424"")"),0)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IFERROR(__xludf.DUMMYFUNCTION("IMPORTRANGE(""https://docs.google.com/spreadsheets/d/1SX6NBoVAgQJ6U1MVXOaj8PK2l7WJ3RER9xtqwdhxkhw/edit?usp=sharing"",""ราชบุรี!I425"")"),0)</f>
        <v>0</v>
      </c>
      <c r="J530" s="198">
        <f ca="1">IFERROR(__xludf.DUMMYFUNCTION("IMPORTRANGE(""https://docs.google.com/spreadsheets/d/1SX6NBoVAgQJ6U1MVXOaj8PK2l7WJ3RER9xtqwdhxkhw/edit?usp=sharing"",""ราชบุรี!J425"")"),0)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IFERROR(__xludf.DUMMYFUNCTION("IMPORTRANGE(""https://docs.google.com/spreadsheets/d/1SX6NBoVAgQJ6U1MVXOaj8PK2l7WJ3RER9xtqwdhxkhw/edit?usp=sharing"",""ราชบุรี!I426"")"),0)</f>
        <v>0</v>
      </c>
      <c r="J531" s="198">
        <f ca="1">IFERROR(__xludf.DUMMYFUNCTION("IMPORTRANGE(""https://docs.google.com/spreadsheets/d/1SX6NBoVAgQJ6U1MVXOaj8PK2l7WJ3RER9xtqwdhxkhw/edit?usp=sharing"",""ราชบุรี!J426"")"),0)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IFERROR(__xludf.DUMMYFUNCTION("IMPORTRANGE(""https://docs.google.com/spreadsheets/d/1SX6NBoVAgQJ6U1MVXOaj8PK2l7WJ3RER9xtqwdhxkhw/edit?usp=sharing"",""ราชบุรี!I427"")"),0)</f>
        <v>0</v>
      </c>
      <c r="J532" s="466">
        <f ca="1">IFERROR(__xludf.DUMMYFUNCTION("IMPORTRANGE(""https://docs.google.com/spreadsheets/d/1SX6NBoVAgQJ6U1MVXOaj8PK2l7WJ3RER9xtqwdhxkhw/edit?usp=sharing"",""ราชบุรี!J427"")"),0)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IFERROR(__xludf.DUMMYFUNCTION("IMPORTRANGE(""https://docs.google.com/spreadsheets/d/1SX6NBoVAgQJ6U1MVXOaj8PK2l7WJ3RER9xtqwdhxkhw/edit?usp=sharing"",""ราชบุรี!I428"")"),22)</f>
        <v>22</v>
      </c>
      <c r="J533" s="410">
        <f ca="1">IFERROR(__xludf.DUMMYFUNCTION("IMPORTRANGE(""https://docs.google.com/spreadsheets/d/1SX6NBoVAgQJ6U1MVXOaj8PK2l7WJ3RER9xtqwdhxkhw/edit?usp=sharing"",""ราชบุรี!J428"")"),22)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IFERROR(__xludf.DUMMYFUNCTION("IMPORTRANGE(""https://docs.google.com/spreadsheets/d/1SX6NBoVAgQJ6U1MVXOaj8PK2l7WJ3RER9xtqwdhxkhw/edit?usp=sharing"",""ราชบุรี!L428"")"),34340)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IFERROR(__xludf.DUMMYFUNCTION("IMPORTRANGE(""https://docs.google.com/spreadsheets/d/1SX6NBoVAgQJ6U1MVXOaj8PK2l7WJ3RER9xtqwdhxkhw/edit?usp=sharing"",""ราชบุรี!M428"")"),28116.97)</f>
        <v>28116.97</v>
      </c>
      <c r="O533" s="412">
        <f t="shared" ref="O533:O537" ca="1" si="118">+IF(L533&gt;0,N533*100/L533,0)</f>
        <v>81.878188701223067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IFERROR(__xludf.DUMMYFUNCTION("IMPORTRANGE(""https://docs.google.com/spreadsheets/d/1SX6NBoVAgQJ6U1MVXOaj8PK2l7WJ3RER9xtqwdhxkhw/edit?usp=sharing"",""ราชบุรี!L429"")"),0)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IFERROR(__xludf.DUMMYFUNCTION("IMPORTRANGE(""https://docs.google.com/spreadsheets/d/1SX6NBoVAgQJ6U1MVXOaj8PK2l7WJ3RER9xtqwdhxkhw/edit?usp=sharing"",""ราชบุรี!M429"")"),0)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IFERROR(__xludf.DUMMYFUNCTION("IMPORTRANGE(""https://docs.google.com/spreadsheets/d/1SX6NBoVAgQJ6U1MVXOaj8PK2l7WJ3RER9xtqwdhxkhw/edit?usp=sharing"",""ราชบุรี!L430"")"),34340)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IFERROR(__xludf.DUMMYFUNCTION("IMPORTRANGE(""https://docs.google.com/spreadsheets/d/1SX6NBoVAgQJ6U1MVXOaj8PK2l7WJ3RER9xtqwdhxkhw/edit?usp=sharing"",""ราชบุรี!M430"")"),28116.97)</f>
        <v>28116.97</v>
      </c>
      <c r="O535" s="169">
        <f t="shared" ca="1" si="118"/>
        <v>81.878188701223067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IFERROR(__xludf.DUMMYFUNCTION("IMPORTRANGE(""https://docs.google.com/spreadsheets/d/1SX6NBoVAgQJ6U1MVXOaj8PK2l7WJ3RER9xtqwdhxkhw/edit?usp=sharing"",""ราชบุรี!L431"")"),0)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IFERROR(__xludf.DUMMYFUNCTION("IMPORTRANGE(""https://docs.google.com/spreadsheets/d/1SX6NBoVAgQJ6U1MVXOaj8PK2l7WJ3RER9xtqwdhxkhw/edit?usp=sharing"",""ราชบุรี!M431"")"),0)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IFERROR(__xludf.DUMMYFUNCTION("IMPORTRANGE(""https://docs.google.com/spreadsheets/d/1SX6NBoVAgQJ6U1MVXOaj8PK2l7WJ3RER9xtqwdhxkhw/edit?usp=sharing"",""ราชบุรี!L432"")"),34340)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IFERROR(__xludf.DUMMYFUNCTION("IMPORTRANGE(""https://docs.google.com/spreadsheets/d/1SX6NBoVAgQJ6U1MVXOaj8PK2l7WJ3RER9xtqwdhxkhw/edit?usp=sharing"",""ราชบุรี!M432"")"),28116.97)</f>
        <v>28116.97</v>
      </c>
      <c r="O537" s="169">
        <f t="shared" ca="1" si="118"/>
        <v>81.878188701223067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IFERROR(__xludf.DUMMYFUNCTION("IMPORTRANGE(""https://docs.google.com/spreadsheets/d/1SX6NBoVAgQJ6U1MVXOaj8PK2l7WJ3RER9xtqwdhxkhw/edit?usp=sharing"",""ราชบุรี!M433"")"),17014)</f>
        <v>17014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IFERROR(__xludf.DUMMYFUNCTION("IMPORTRANGE(""https://docs.google.com/spreadsheets/d/1SX6NBoVAgQJ6U1MVXOaj8PK2l7WJ3RER9xtqwdhxkhw/edit?usp=sharing"",""ราชบุรี!M434"")"),0)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IFERROR(__xludf.DUMMYFUNCTION("IMPORTRANGE(""https://docs.google.com/spreadsheets/d/1SX6NBoVAgQJ6U1MVXOaj8PK2l7WJ3RER9xtqwdhxkhw/edit?usp=sharing"",""ราชบุรี!M435"")"),0)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IFERROR(__xludf.DUMMYFUNCTION("IMPORTRANGE(""https://docs.google.com/spreadsheets/d/1SX6NBoVAgQJ6U1MVXOaj8PK2l7WJ3RER9xtqwdhxkhw/edit?usp=sharing"",""ราชบุรี!M436"")"),11102.97)</f>
        <v>11102.97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IFERROR(__xludf.DUMMYFUNCTION("IMPORTRANGE(""https://docs.google.com/spreadsheets/d/1SX6NBoVAgQJ6U1MVXOaj8PK2l7WJ3RER9xtqwdhxkhw/edit?usp=sharing"",""ราชบุรี!J438"")"),0)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IFERROR(__xludf.DUMMYFUNCTION("IMPORTRANGE(""https://docs.google.com/spreadsheets/d/1SX6NBoVAgQJ6U1MVXOaj8PK2l7WJ3RER9xtqwdhxkhw/edit?usp=sharing"",""ราชบุรี!J439"")"),1)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IFERROR(__xludf.DUMMYFUNCTION("IMPORTRANGE(""https://docs.google.com/spreadsheets/d/1SX6NBoVAgQJ6U1MVXOaj8PK2l7WJ3RER9xtqwdhxkhw/edit?usp=sharing"",""ราชบุรี!J440"")"),1)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IFERROR(__xludf.DUMMYFUNCTION("IMPORTRANGE(""https://docs.google.com/spreadsheets/d/1SX6NBoVAgQJ6U1MVXOaj8PK2l7WJ3RER9xtqwdhxkhw/edit?usp=sharing"",""ราชบุรี!J441"")"),1)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IFERROR(__xludf.DUMMYFUNCTION("IMPORTRANGE(""https://docs.google.com/spreadsheets/d/1SX6NBoVAgQJ6U1MVXOaj8PK2l7WJ3RER9xtqwdhxkhw/edit?usp=sharing"",""ราชบุรี!I442"")"),22)</f>
        <v>22</v>
      </c>
      <c r="J547" s="189">
        <f ca="1">IFERROR(__xludf.DUMMYFUNCTION("IMPORTRANGE(""https://docs.google.com/spreadsheets/d/1SX6NBoVAgQJ6U1MVXOaj8PK2l7WJ3RER9xtqwdhxkhw/edit?usp=sharing"",""ราชบุรี!J442"")"),22)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IFERROR(__xludf.DUMMYFUNCTION("IMPORTRANGE(""https://docs.google.com/spreadsheets/d/1SX6NBoVAgQJ6U1MVXOaj8PK2l7WJ3RER9xtqwdhxkhw/edit?usp=sharing"",""ราชบุรี!J166"")"),0)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IFERROR(__xludf.DUMMYFUNCTION("IMPORTRANGE(""https://docs.google.com/spreadsheets/d/1SX6NBoVAgQJ6U1MVXOaj8PK2l7WJ3RER9xtqwdhxkhw/edit?usp=sharing"",""ราชบุรี!J444"")"),1)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IFERROR(__xludf.DUMMYFUNCTION("IMPORTRANGE(""https://docs.google.com/spreadsheets/d/1SX6NBoVAgQJ6U1MVXOaj8PK2l7WJ3RER9xtqwdhxkhw/edit?usp=sharing"",""ราชบุรี!J445"")"),0)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IFERROR(__xludf.DUMMYFUNCTION("IMPORTRANGE(""https://docs.google.com/spreadsheets/d/1SX6NBoVAgQJ6U1MVXOaj8PK2l7WJ3RER9xtqwdhxkhw/edit?usp=sharing"",""ราชบุรี!I446"")"),0)</f>
        <v>0</v>
      </c>
      <c r="J551" s="410">
        <f ca="1">IFERROR(__xludf.DUMMYFUNCTION("IMPORTRANGE(""https://docs.google.com/spreadsheets/d/1SX6NBoVAgQJ6U1MVXOaj8PK2l7WJ3RER9xtqwdhxkhw/edit?usp=sharing"",""ราชบุรี!J446"")"),0)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IFERROR(__xludf.DUMMYFUNCTION("IMPORTRANGE(""https://docs.google.com/spreadsheets/d/1SX6NBoVAgQJ6U1MVXOaj8PK2l7WJ3RER9xtqwdhxkhw/edit?usp=sharing"",""ราชบุรี!L446"")"),0)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IFERROR(__xludf.DUMMYFUNCTION("IMPORTRANGE(""https://docs.google.com/spreadsheets/d/1SX6NBoVAgQJ6U1MVXOaj8PK2l7WJ3RER9xtqwdhxkhw/edit?usp=sharing"",""ราชบุรี!M446"")"),0)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IFERROR(__xludf.DUMMYFUNCTION("IMPORTRANGE(""https://docs.google.com/spreadsheets/d/1SX6NBoVAgQJ6U1MVXOaj8PK2l7WJ3RER9xtqwdhxkhw/edit?usp=sharing"",""ราชบุรี!L447"")"),0)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IFERROR(__xludf.DUMMYFUNCTION("IMPORTRANGE(""https://docs.google.com/spreadsheets/d/1SX6NBoVAgQJ6U1MVXOaj8PK2l7WJ3RER9xtqwdhxkhw/edit?usp=sharing"",""ราชบุรี!M447"")"),0)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IFERROR(__xludf.DUMMYFUNCTION("IMPORTRANGE(""https://docs.google.com/spreadsheets/d/1SX6NBoVAgQJ6U1MVXOaj8PK2l7WJ3RER9xtqwdhxkhw/edit?usp=sharing"",""ราชบุรี!L448"")"),0)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IFERROR(__xludf.DUMMYFUNCTION("IMPORTRANGE(""https://docs.google.com/spreadsheets/d/1SX6NBoVAgQJ6U1MVXOaj8PK2l7WJ3RER9xtqwdhxkhw/edit?usp=sharing"",""ราชบุรี!M448"")"),0)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IFERROR(__xludf.DUMMYFUNCTION("IMPORTRANGE(""https://docs.google.com/spreadsheets/d/1SX6NBoVAgQJ6U1MVXOaj8PK2l7WJ3RER9xtqwdhxkhw/edit?usp=sharing"",""ราชบุรี!L449"")"),0)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IFERROR(__xludf.DUMMYFUNCTION("IMPORTRANGE(""https://docs.google.com/spreadsheets/d/1SX6NBoVAgQJ6U1MVXOaj8PK2l7WJ3RER9xtqwdhxkhw/edit?usp=sharing"",""ราชบุรี!M449"")"),0)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IFERROR(__xludf.DUMMYFUNCTION("IMPORTRANGE(""https://docs.google.com/spreadsheets/d/1SX6NBoVAgQJ6U1MVXOaj8PK2l7WJ3RER9xtqwdhxkhw/edit?usp=sharing"",""ราชบุรี!L450"")"),0)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IFERROR(__xludf.DUMMYFUNCTION("IMPORTRANGE(""https://docs.google.com/spreadsheets/d/1SX6NBoVAgQJ6U1MVXOaj8PK2l7WJ3RER9xtqwdhxkhw/edit?usp=sharing"",""ราชบุรี!M450"")"),0)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IFERROR(__xludf.DUMMYFUNCTION("IMPORTRANGE(""https://docs.google.com/spreadsheets/d/1SX6NBoVAgQJ6U1MVXOaj8PK2l7WJ3RER9xtqwdhxkhw/edit?usp=sharing"",""ราชบุรี!M451"")"),0)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IFERROR(__xludf.DUMMYFUNCTION("IMPORTRANGE(""https://docs.google.com/spreadsheets/d/1SX6NBoVAgQJ6U1MVXOaj8PK2l7WJ3RER9xtqwdhxkhw/edit?usp=sharing"",""ราชบุรี!M452"")"),0)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IFERROR(__xludf.DUMMYFUNCTION("IMPORTRANGE(""https://docs.google.com/spreadsheets/d/1SX6NBoVAgQJ6U1MVXOaj8PK2l7WJ3RER9xtqwdhxkhw/edit?usp=sharing"",""ราชบุรี!M453"")"),0)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IFERROR(__xludf.DUMMYFUNCTION("IMPORTRANGE(""https://docs.google.com/spreadsheets/d/1SX6NBoVAgQJ6U1MVXOaj8PK2l7WJ3RER9xtqwdhxkhw/edit?usp=sharing"",""ราชบุรี!M454"")"),0)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IFERROR(__xludf.DUMMYFUNCTION("IMPORTRANGE(""https://docs.google.com/spreadsheets/d/1SX6NBoVAgQJ6U1MVXOaj8PK2l7WJ3RER9xtqwdhxkhw/edit?usp=sharing"",""ราชบุรี!I455"")"),0)</f>
        <v>0</v>
      </c>
      <c r="J560" s="162">
        <f ca="1">IFERROR(__xludf.DUMMYFUNCTION("IMPORTRANGE(""https://docs.google.com/spreadsheets/d/1SX6NBoVAgQJ6U1MVXOaj8PK2l7WJ3RER9xtqwdhxkhw/edit?usp=sharing"",""ราชบุรี!J455"")"),0)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IFERROR(__xludf.DUMMYFUNCTION("IMPORTRANGE(""https://docs.google.com/spreadsheets/d/1SX6NBoVAgQJ6U1MVXOaj8PK2l7WJ3RER9xtqwdhxkhw/edit?usp=sharing"",""ราชบุรี!I456"")"),0)</f>
        <v>0</v>
      </c>
      <c r="J561" s="204">
        <f ca="1">IFERROR(__xludf.DUMMYFUNCTION("IMPORTRANGE(""https://docs.google.com/spreadsheets/d/1SX6NBoVAgQJ6U1MVXOaj8PK2l7WJ3RER9xtqwdhxkhw/edit?usp=sharing"",""ราชบุรี!J456"")"),0)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IFERROR(__xludf.DUMMYFUNCTION("IMPORTRANGE(""https://docs.google.com/spreadsheets/d/1SX6NBoVAgQJ6U1MVXOaj8PK2l7WJ3RER9xtqwdhxkhw/edit?usp=sharing"",""ราชบุรี!I459"")"),550)</f>
        <v>550</v>
      </c>
      <c r="J564" s="371">
        <f ca="1">IFERROR(__xludf.DUMMYFUNCTION("IMPORTRANGE(""https://docs.google.com/spreadsheets/d/1SX6NBoVAgQJ6U1MVXOaj8PK2l7WJ3RER9xtqwdhxkhw/edit?usp=sharing"",""ราชบุรี!J459"")"),3730)</f>
        <v>3730</v>
      </c>
      <c r="K564" s="372">
        <f ca="1">IF(I564&gt;0,J564*100/I564,0)</f>
        <v>678.18181818181813</v>
      </c>
      <c r="L564" s="373">
        <f ca="1">IFERROR(__xludf.DUMMYFUNCTION("IMPORTRANGE(""https://docs.google.com/spreadsheets/d/1SX6NBoVAgQJ6U1MVXOaj8PK2l7WJ3RER9xtqwdhxkhw/edit?usp=sharing"",""ราชบุรี!L459"")"),126080)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IFERROR(__xludf.DUMMYFUNCTION("IMPORTRANGE(""https://docs.google.com/spreadsheets/d/1SX6NBoVAgQJ6U1MVXOaj8PK2l7WJ3RER9xtqwdhxkhw/edit?usp=sharing"",""ราชบุรี!M459"")"),118175.6)</f>
        <v>118175.6</v>
      </c>
      <c r="O564" s="373">
        <f t="shared" ref="O564:O568" ca="1" si="122">+IF(L564&gt;0,N564*100/L564,0)</f>
        <v>93.730647208121823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IFERROR(__xludf.DUMMYFUNCTION("IMPORTRANGE(""https://docs.google.com/spreadsheets/d/1SX6NBoVAgQJ6U1MVXOaj8PK2l7WJ3RER9xtqwdhxkhw/edit?usp=sharing"",""ราชบุรี!L460"")"),0)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IFERROR(__xludf.DUMMYFUNCTION("IMPORTRANGE(""https://docs.google.com/spreadsheets/d/1SX6NBoVAgQJ6U1MVXOaj8PK2l7WJ3RER9xtqwdhxkhw/edit?usp=sharing"",""ราชบุรี!M460"")"),0)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IFERROR(__xludf.DUMMYFUNCTION("IMPORTRANGE(""https://docs.google.com/spreadsheets/d/1SX6NBoVAgQJ6U1MVXOaj8PK2l7WJ3RER9xtqwdhxkhw/edit?usp=sharing"",""ราชบุรี!L461"")"),126080)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IFERROR(__xludf.DUMMYFUNCTION("IMPORTRANGE(""https://docs.google.com/spreadsheets/d/1SX6NBoVAgQJ6U1MVXOaj8PK2l7WJ3RER9xtqwdhxkhw/edit?usp=sharing"",""ราชบุรี!M461"")"),118175.6)</f>
        <v>118175.6</v>
      </c>
      <c r="O566" s="169">
        <f t="shared" ca="1" si="122"/>
        <v>93.730647208121823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IFERROR(__xludf.DUMMYFUNCTION("IMPORTRANGE(""https://docs.google.com/spreadsheets/d/1SX6NBoVAgQJ6U1MVXOaj8PK2l7WJ3RER9xtqwdhxkhw/edit?usp=sharing"",""ราชบุรี!L462"")"),0)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IFERROR(__xludf.DUMMYFUNCTION("IMPORTRANGE(""https://docs.google.com/spreadsheets/d/1SX6NBoVAgQJ6U1MVXOaj8PK2l7WJ3RER9xtqwdhxkhw/edit?usp=sharing"",""ราชบุรี!M462"")"),0)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IFERROR(__xludf.DUMMYFUNCTION("IMPORTRANGE(""https://docs.google.com/spreadsheets/d/1SX6NBoVAgQJ6U1MVXOaj8PK2l7WJ3RER9xtqwdhxkhw/edit?usp=sharing"",""ราชบุรี!L463"")"),126080)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IFERROR(__xludf.DUMMYFUNCTION("IMPORTRANGE(""https://docs.google.com/spreadsheets/d/1SX6NBoVAgQJ6U1MVXOaj8PK2l7WJ3RER9xtqwdhxkhw/edit?usp=sharing"",""ราชบุรี!M463"")"),118175.6)</f>
        <v>118175.6</v>
      </c>
      <c r="O568" s="169">
        <f t="shared" ca="1" si="122"/>
        <v>93.730647208121823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IFERROR(__xludf.DUMMYFUNCTION("IMPORTRANGE(""https://docs.google.com/spreadsheets/d/1SX6NBoVAgQJ6U1MVXOaj8PK2l7WJ3RER9xtqwdhxkhw/edit?usp=sharing"",""ราชบุรี!M464"")"),0)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IFERROR(__xludf.DUMMYFUNCTION("IMPORTRANGE(""https://docs.google.com/spreadsheets/d/1SX6NBoVAgQJ6U1MVXOaj8PK2l7WJ3RER9xtqwdhxkhw/edit?usp=sharing"",""ราชบุรี!M465"")"),0)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IFERROR(__xludf.DUMMYFUNCTION("IMPORTRANGE(""https://docs.google.com/spreadsheets/d/1SX6NBoVAgQJ6U1MVXOaj8PK2l7WJ3RER9xtqwdhxkhw/edit?usp=sharing"",""ราชบุรี!M466"")"),89419.36)</f>
        <v>89419.36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IFERROR(__xludf.DUMMYFUNCTION("IMPORTRANGE(""https://docs.google.com/spreadsheets/d/1SX6NBoVAgQJ6U1MVXOaj8PK2l7WJ3RER9xtqwdhxkhw/edit?usp=sharing"",""ราชบุรี!M467"")"),28756.24)</f>
        <v>28756.240000000002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IFERROR(__xludf.DUMMYFUNCTION("IMPORTRANGE(""https://docs.google.com/spreadsheets/d/1SX6NBoVAgQJ6U1MVXOaj8PK2l7WJ3RER9xtqwdhxkhw/edit?usp=sharing"",""ราชบุรี!I468"")"),550)</f>
        <v>550</v>
      </c>
      <c r="J573" s="420">
        <f ca="1">IFERROR(__xludf.DUMMYFUNCTION("IMPORTRANGE(""https://docs.google.com/spreadsheets/d/1SX6NBoVAgQJ6U1MVXOaj8PK2l7WJ3RER9xtqwdhxkhw/edit?usp=sharing"",""ราชบุรี!J468"")"),3730)</f>
        <v>3730</v>
      </c>
      <c r="K573" s="202">
        <f ca="1">IF(I573&gt;0,J573*100/I573,0)</f>
        <v>678.18181818181813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IFERROR(__xludf.DUMMYFUNCTION("IMPORTRANGE(""https://docs.google.com/spreadsheets/d/1SX6NBoVAgQJ6U1MVXOaj8PK2l7WJ3RER9xtqwdhxkhw/edit?usp=sharing"",""ราชบุรี!I470"")"),0)</f>
        <v>0</v>
      </c>
      <c r="J575" s="198">
        <f ca="1">IFERROR(__xludf.DUMMYFUNCTION("IMPORTRANGE(""https://docs.google.com/spreadsheets/d/1SX6NBoVAgQJ6U1MVXOaj8PK2l7WJ3RER9xtqwdhxkhw/edit?usp=sharing"",""ราชบุรี!J470"")"),9)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IFERROR(__xludf.DUMMYFUNCTION("IMPORTRANGE(""https://docs.google.com/spreadsheets/d/1SX6NBoVAgQJ6U1MVXOaj8PK2l7WJ3RER9xtqwdhxkhw/edit?usp=sharing"",""ราชบุรี!I471"")"),0)</f>
        <v>0</v>
      </c>
      <c r="J576" s="198">
        <f ca="1">IFERROR(__xludf.DUMMYFUNCTION("IMPORTRANGE(""https://docs.google.com/spreadsheets/d/1SX6NBoVAgQJ6U1MVXOaj8PK2l7WJ3RER9xtqwdhxkhw/edit?usp=sharing"",""ราชบุรี!J471"")"),184)</f>
        <v>184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IFERROR(__xludf.DUMMYFUNCTION("IMPORTRANGE(""https://docs.google.com/spreadsheets/d/1SX6NBoVAgQJ6U1MVXOaj8PK2l7WJ3RER9xtqwdhxkhw/edit?usp=sharing"",""ราชบุรี!I472"")"),0)</f>
        <v>0</v>
      </c>
      <c r="J577" s="189">
        <f ca="1">IFERROR(__xludf.DUMMYFUNCTION("IMPORTRANGE(""https://docs.google.com/spreadsheets/d/1SX6NBoVAgQJ6U1MVXOaj8PK2l7WJ3RER9xtqwdhxkhw/edit?usp=sharing"",""ราชบุรี!J472"")"),3537)</f>
        <v>3537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IFERROR(__xludf.DUMMYFUNCTION("IMPORTRANGE(""https://docs.google.com/spreadsheets/d/1SX6NBoVAgQJ6U1MVXOaj8PK2l7WJ3RER9xtqwdhxkhw/edit?usp=sharing"",""ราชบุรี!I473"")"),0)</f>
        <v>0</v>
      </c>
      <c r="J578" s="198">
        <f ca="1">IFERROR(__xludf.DUMMYFUNCTION("IMPORTRANGE(""https://docs.google.com/spreadsheets/d/1SX6NBoVAgQJ6U1MVXOaj8PK2l7WJ3RER9xtqwdhxkhw/edit?usp=sharing"",""ราชบุรี!J473"")"),9)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IFERROR(__xludf.DUMMYFUNCTION("IMPORTRANGE(""https://docs.google.com/spreadsheets/d/1SX6NBoVAgQJ6U1MVXOaj8PK2l7WJ3RER9xtqwdhxkhw/edit?usp=sharing"",""ราชบุรี!I474"")"),0)</f>
        <v>0</v>
      </c>
      <c r="J579" s="198">
        <f ca="1">IFERROR(__xludf.DUMMYFUNCTION("IMPORTRANGE(""https://docs.google.com/spreadsheets/d/1SX6NBoVAgQJ6U1MVXOaj8PK2l7WJ3RER9xtqwdhxkhw/edit?usp=sharing"",""ราชบุรี!J474"")"),0)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IFERROR(__xludf.DUMMYFUNCTION("IMPORTRANGE(""https://docs.google.com/spreadsheets/d/1SX6NBoVAgQJ6U1MVXOaj8PK2l7WJ3RER9xtqwdhxkhw/edit?usp=sharing"",""ราชบุรี!I475"")"),0)</f>
        <v>0</v>
      </c>
      <c r="J580" s="371">
        <f ca="1">IFERROR(__xludf.DUMMYFUNCTION("IMPORTRANGE(""https://docs.google.com/spreadsheets/d/1SX6NBoVAgQJ6U1MVXOaj8PK2l7WJ3RER9xtqwdhxkhw/edit?usp=sharing"",""ราชบุรี!J475"")"),0)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IFERROR(__xludf.DUMMYFUNCTION("IMPORTRANGE(""https://docs.google.com/spreadsheets/d/1SX6NBoVAgQJ6U1MVXOaj8PK2l7WJ3RER9xtqwdhxkhw/edit?usp=sharing"",""ราชบุรี!L475"")"),0)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IFERROR(__xludf.DUMMYFUNCTION("IMPORTRANGE(""https://docs.google.com/spreadsheets/d/1SX6NBoVAgQJ6U1MVXOaj8PK2l7WJ3RER9xtqwdhxkhw/edit?usp=sharing"",""ราชบุรี!M475"")"),0)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IFERROR(__xludf.DUMMYFUNCTION("IMPORTRANGE(""https://docs.google.com/spreadsheets/d/1SX6NBoVAgQJ6U1MVXOaj8PK2l7WJ3RER9xtqwdhxkhw/edit?usp=sharing"",""ราชบุรี!L476"")"),0)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IFERROR(__xludf.DUMMYFUNCTION("IMPORTRANGE(""https://docs.google.com/spreadsheets/d/1SX6NBoVAgQJ6U1MVXOaj8PK2l7WJ3RER9xtqwdhxkhw/edit?usp=sharing"",""ราชบุรี!M476"")"),0)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IFERROR(__xludf.DUMMYFUNCTION("IMPORTRANGE(""https://docs.google.com/spreadsheets/d/1SX6NBoVAgQJ6U1MVXOaj8PK2l7WJ3RER9xtqwdhxkhw/edit?usp=sharing"",""ราชบุรี!L477"")"),0)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IFERROR(__xludf.DUMMYFUNCTION("IMPORTRANGE(""https://docs.google.com/spreadsheets/d/1SX6NBoVAgQJ6U1MVXOaj8PK2l7WJ3RER9xtqwdhxkhw/edit?usp=sharing"",""ราชบุรี!M477"")"),0)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IFERROR(__xludf.DUMMYFUNCTION("IMPORTRANGE(""https://docs.google.com/spreadsheets/d/1SX6NBoVAgQJ6U1MVXOaj8PK2l7WJ3RER9xtqwdhxkhw/edit?usp=sharing"",""ราชบุรี!L478"")"),0)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IFERROR(__xludf.DUMMYFUNCTION("IMPORTRANGE(""https://docs.google.com/spreadsheets/d/1SX6NBoVAgQJ6U1MVXOaj8PK2l7WJ3RER9xtqwdhxkhw/edit?usp=sharing"",""ราชบุรี!M478"")"),0)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IFERROR(__xludf.DUMMYFUNCTION("IMPORTRANGE(""https://docs.google.com/spreadsheets/d/1SX6NBoVAgQJ6U1MVXOaj8PK2l7WJ3RER9xtqwdhxkhw/edit?usp=sharing"",""ราชบุรี!L479"")"),0)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IFERROR(__xludf.DUMMYFUNCTION("IMPORTRANGE(""https://docs.google.com/spreadsheets/d/1SX6NBoVAgQJ6U1MVXOaj8PK2l7WJ3RER9xtqwdhxkhw/edit?usp=sharing"",""ราชบุรี!M479"")"),0)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IFERROR(__xludf.DUMMYFUNCTION("IMPORTRANGE(""https://docs.google.com/spreadsheets/d/1SX6NBoVAgQJ6U1MVXOaj8PK2l7WJ3RER9xtqwdhxkhw/edit?usp=sharing"",""ราชบุรี!M480"")"),0)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IFERROR(__xludf.DUMMYFUNCTION("IMPORTRANGE(""https://docs.google.com/spreadsheets/d/1SX6NBoVAgQJ6U1MVXOaj8PK2l7WJ3RER9xtqwdhxkhw/edit?usp=sharing"",""ราชบุรี!M481"")"),0)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IFERROR(__xludf.DUMMYFUNCTION("IMPORTRANGE(""https://docs.google.com/spreadsheets/d/1SX6NBoVAgQJ6U1MVXOaj8PK2l7WJ3RER9xtqwdhxkhw/edit?usp=sharing"",""ราชบุรี!M482"")"),0)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IFERROR(__xludf.DUMMYFUNCTION("IMPORTRANGE(""https://docs.google.com/spreadsheets/d/1SX6NBoVAgQJ6U1MVXOaj8PK2l7WJ3RER9xtqwdhxkhw/edit?usp=sharing"",""ราชบุรี!M483"")"),0)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IFERROR(__xludf.DUMMYFUNCTION("IMPORTRANGE(""https://docs.google.com/spreadsheets/d/1SX6NBoVAgQJ6U1MVXOaj8PK2l7WJ3RER9xtqwdhxkhw/edit?usp=sharing"",""ราชบุรี!I484"")"),0)</f>
        <v>0</v>
      </c>
      <c r="J589" s="188">
        <f ca="1">IFERROR(__xludf.DUMMYFUNCTION("IMPORTRANGE(""https://docs.google.com/spreadsheets/d/1SX6NBoVAgQJ6U1MVXOaj8PK2l7WJ3RER9xtqwdhxkhw/edit?usp=sharing"",""ราชบุรี!J484"")"),0)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IFERROR(__xludf.DUMMYFUNCTION("IMPORTRANGE(""https://docs.google.com/spreadsheets/d/1SX6NBoVAgQJ6U1MVXOaj8PK2l7WJ3RER9xtqwdhxkhw/edit?usp=sharing"",""ราชบุรี!I485"")"),0)</f>
        <v>0</v>
      </c>
      <c r="J590" s="188">
        <f ca="1">IFERROR(__xludf.DUMMYFUNCTION("IMPORTRANGE(""https://docs.google.com/spreadsheets/d/1SX6NBoVAgQJ6U1MVXOaj8PK2l7WJ3RER9xtqwdhxkhw/edit?usp=sharing"",""ราชบุรี!J485"")"),0)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IFERROR(__xludf.DUMMYFUNCTION("IMPORTRANGE(""https://docs.google.com/spreadsheets/d/1SX6NBoVAgQJ6U1MVXOaj8PK2l7WJ3RER9xtqwdhxkhw/edit?usp=sharing"",""ราชบุรี!I486"")"),0)</f>
        <v>0</v>
      </c>
      <c r="J591" s="188">
        <f ca="1">IFERROR(__xludf.DUMMYFUNCTION("IMPORTRANGE(""https://docs.google.com/spreadsheets/d/1SX6NBoVAgQJ6U1MVXOaj8PK2l7WJ3RER9xtqwdhxkhw/edit?usp=sharing"",""ราชบุรี!J486"")"),0)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IFERROR(__xludf.DUMMYFUNCTION("IMPORTRANGE(""https://docs.google.com/spreadsheets/d/1SX6NBoVAgQJ6U1MVXOaj8PK2l7WJ3RER9xtqwdhxkhw/edit?usp=sharing"",""ราชบุรี!I487"")"),0)</f>
        <v>0</v>
      </c>
      <c r="J592" s="188">
        <f ca="1">IFERROR(__xludf.DUMMYFUNCTION("IMPORTRANGE(""https://docs.google.com/spreadsheets/d/1SX6NBoVAgQJ6U1MVXOaj8PK2l7WJ3RER9xtqwdhxkhw/edit?usp=sharing"",""ราชบุรี!J487"")"),0)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IFERROR(__xludf.DUMMYFUNCTION("IMPORTRANGE(""https://docs.google.com/spreadsheets/d/1SX6NBoVAgQJ6U1MVXOaj8PK2l7WJ3RER9xtqwdhxkhw/edit?usp=sharing"",""ราชบุรี!I488"")"),0)</f>
        <v>0</v>
      </c>
      <c r="J593" s="188">
        <f ca="1">IFERROR(__xludf.DUMMYFUNCTION("IMPORTRANGE(""https://docs.google.com/spreadsheets/d/1SX6NBoVAgQJ6U1MVXOaj8PK2l7WJ3RER9xtqwdhxkhw/edit?usp=sharing"",""ราชบุรี!J488"")"),0)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IFERROR(__xludf.DUMMYFUNCTION("IMPORTRANGE(""https://docs.google.com/spreadsheets/d/1SX6NBoVAgQJ6U1MVXOaj8PK2l7WJ3RER9xtqwdhxkhw/edit?usp=sharing"",""ราชบุรี!I489"")"),0)</f>
        <v>0</v>
      </c>
      <c r="J594" s="188">
        <f ca="1">IFERROR(__xludf.DUMMYFUNCTION("IMPORTRANGE(""https://docs.google.com/spreadsheets/d/1SX6NBoVAgQJ6U1MVXOaj8PK2l7WJ3RER9xtqwdhxkhw/edit?usp=sharing"",""ราชบุรี!J489"")"),0)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IFERROR(__xludf.DUMMYFUNCTION("IMPORTRANGE(""https://docs.google.com/spreadsheets/d/1SX6NBoVAgQJ6U1MVXOaj8PK2l7WJ3RER9xtqwdhxkhw/edit?usp=sharing"",""ราชบุรี!I490"")"),0)</f>
        <v>0</v>
      </c>
      <c r="J595" s="188">
        <f ca="1">IFERROR(__xludf.DUMMYFUNCTION("IMPORTRANGE(""https://docs.google.com/spreadsheets/d/1SX6NBoVAgQJ6U1MVXOaj8PK2l7WJ3RER9xtqwdhxkhw/edit?usp=sharing"",""ราชบุรี!J490"")"),0)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IFERROR(__xludf.DUMMYFUNCTION("IMPORTRANGE(""https://docs.google.com/spreadsheets/d/1SX6NBoVAgQJ6U1MVXOaj8PK2l7WJ3RER9xtqwdhxkhw/edit?usp=sharing"",""ราชบุรี!I491"")"),0)</f>
        <v>0</v>
      </c>
      <c r="J596" s="242">
        <f ca="1">IFERROR(__xludf.DUMMYFUNCTION("IMPORTRANGE(""https://docs.google.com/spreadsheets/d/1SX6NBoVAgQJ6U1MVXOaj8PK2l7WJ3RER9xtqwdhxkhw/edit?usp=sharing"",""ราชบุรี!J491"")"),0)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IFERROR(__xludf.DUMMYFUNCTION("IMPORTRANGE(""https://docs.google.com/spreadsheets/d/1SX6NBoVAgQJ6U1MVXOaj8PK2l7WJ3RER9xtqwdhxkhw/edit?usp=sharing"",""ราชบุรี!I492"")"),50)</f>
        <v>50</v>
      </c>
      <c r="J597" s="488">
        <f ca="1">IFERROR(__xludf.DUMMYFUNCTION("IMPORTRANGE(""https://docs.google.com/spreadsheets/d/1SX6NBoVAgQJ6U1MVXOaj8PK2l7WJ3RER9xtqwdhxkhw/edit?usp=sharing"",""ราชบุรี!J492"")"),0)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IFERROR(__xludf.DUMMYFUNCTION("IMPORTRANGE(""https://docs.google.com/spreadsheets/d/1SX6NBoVAgQJ6U1MVXOaj8PK2l7WJ3RER9xtqwdhxkhw/edit?usp=sharing"",""ราชบุรี!L492"")"),5350)</f>
        <v>5350</v>
      </c>
      <c r="M597" s="412"/>
      <c r="N597" s="412">
        <f ca="1">IFERROR(__xludf.DUMMYFUNCTION("IMPORTRANGE(""https://docs.google.com/spreadsheets/d/1SX6NBoVAgQJ6U1MVXOaj8PK2l7WJ3RER9xtqwdhxkhw/edit?usp=sharing"",""ราชบุรี!M492"")"),300)</f>
        <v>300</v>
      </c>
      <c r="O597" s="412">
        <f t="shared" ref="O597:O601" ca="1" si="126">+IF(L597&gt;0,N597*100/L597,0)</f>
        <v>5.6074766355140184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IFERROR(__xludf.DUMMYFUNCTION("IMPORTRANGE(""https://docs.google.com/spreadsheets/d/1SX6NBoVAgQJ6U1MVXOaj8PK2l7WJ3RER9xtqwdhxkhw/edit?usp=sharing"",""ราชบุรี!L493"")"),0)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IFERROR(__xludf.DUMMYFUNCTION("IMPORTRANGE(""https://docs.google.com/spreadsheets/d/1SX6NBoVAgQJ6U1MVXOaj8PK2l7WJ3RER9xtqwdhxkhw/edit?usp=sharing"",""ราชบุรี!M493"")"),0)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IFERROR(__xludf.DUMMYFUNCTION("IMPORTRANGE(""https://docs.google.com/spreadsheets/d/1SX6NBoVAgQJ6U1MVXOaj8PK2l7WJ3RER9xtqwdhxkhw/edit?usp=sharing"",""ราชบุรี!L494"")"),5350)</f>
        <v>5350</v>
      </c>
      <c r="M599" s="165"/>
      <c r="N599" s="169">
        <f ca="1">IFERROR(__xludf.DUMMYFUNCTION("IMPORTRANGE(""https://docs.google.com/spreadsheets/d/1SX6NBoVAgQJ6U1MVXOaj8PK2l7WJ3RER9xtqwdhxkhw/edit?usp=sharing"",""ราชบุรี!M494"")"),300)</f>
        <v>300</v>
      </c>
      <c r="O599" s="169">
        <f t="shared" ca="1" si="126"/>
        <v>5.6074766355140184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IFERROR(__xludf.DUMMYFUNCTION("IMPORTRANGE(""https://docs.google.com/spreadsheets/d/1SX6NBoVAgQJ6U1MVXOaj8PK2l7WJ3RER9xtqwdhxkhw/edit?usp=sharing"",""ราชบุรี!L495"")"),0)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IFERROR(__xludf.DUMMYFUNCTION("IMPORTRANGE(""https://docs.google.com/spreadsheets/d/1SX6NBoVAgQJ6U1MVXOaj8PK2l7WJ3RER9xtqwdhxkhw/edit?usp=sharing"",""ราชบุรี!M495"")"),0)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IFERROR(__xludf.DUMMYFUNCTION("IMPORTRANGE(""https://docs.google.com/spreadsheets/d/1SX6NBoVAgQJ6U1MVXOaj8PK2l7WJ3RER9xtqwdhxkhw/edit?usp=sharing"",""ราชบุรี!L496"")"),5350)</f>
        <v>5350</v>
      </c>
      <c r="M601" s="169"/>
      <c r="N601" s="169">
        <f ca="1">IFERROR(__xludf.DUMMYFUNCTION("IMPORTRANGE(""https://docs.google.com/spreadsheets/d/1SX6NBoVAgQJ6U1MVXOaj8PK2l7WJ3RER9xtqwdhxkhw/edit?usp=sharing"",""ราชบุรี!M496"")"),300)</f>
        <v>300</v>
      </c>
      <c r="O601" s="169">
        <f t="shared" ca="1" si="126"/>
        <v>5.6074766355140184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IFERROR(__xludf.DUMMYFUNCTION("IMPORTRANGE(""https://docs.google.com/spreadsheets/d/1SX6NBoVAgQJ6U1MVXOaj8PK2l7WJ3RER9xtqwdhxkhw/edit?usp=sharing"",""ราชบุรี!M497"")"),0)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IFERROR(__xludf.DUMMYFUNCTION("IMPORTRANGE(""https://docs.google.com/spreadsheets/d/1SX6NBoVAgQJ6U1MVXOaj8PK2l7WJ3RER9xtqwdhxkhw/edit?usp=sharing"",""ราชบุรี!M498"")"),0)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IFERROR(__xludf.DUMMYFUNCTION("IMPORTRANGE(""https://docs.google.com/spreadsheets/d/1SX6NBoVAgQJ6U1MVXOaj8PK2l7WJ3RER9xtqwdhxkhw/edit?usp=sharing"",""ราชบุรี!M499"")"),0)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IFERROR(__xludf.DUMMYFUNCTION("IMPORTRANGE(""https://docs.google.com/spreadsheets/d/1SX6NBoVAgQJ6U1MVXOaj8PK2l7WJ3RER9xtqwdhxkhw/edit?usp=sharing"",""ราชบุรี!M500"")"),300)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IFERROR(__xludf.DUMMYFUNCTION("IMPORTRANGE(""https://docs.google.com/spreadsheets/d/1SX6NBoVAgQJ6U1MVXOaj8PK2l7WJ3RER9xtqwdhxkhw/edit?usp=sharing"",""ราชบุรี!J502"")"),0)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IFERROR(__xludf.DUMMYFUNCTION("IMPORTRANGE(""https://docs.google.com/spreadsheets/d/1SX6NBoVAgQJ6U1MVXOaj8PK2l7WJ3RER9xtqwdhxkhw/edit?usp=sharing"",""ราชบุรี!J503"")"),1)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IFERROR(__xludf.DUMMYFUNCTION("IMPORTRANGE(""https://docs.google.com/spreadsheets/d/1SX6NBoVAgQJ6U1MVXOaj8PK2l7WJ3RER9xtqwdhxkhw/edit?usp=sharing"",""ราชบุรี!J166"")"),0)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IFERROR(__xludf.DUMMYFUNCTION("IMPORTRANGE(""https://docs.google.com/spreadsheets/d/1SX6NBoVAgQJ6U1MVXOaj8PK2l7WJ3RER9xtqwdhxkhw/edit?usp=sharing"",""ราชบุรี!J166"")"),0)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IFERROR(__xludf.DUMMYFUNCTION("IMPORTRANGE(""https://docs.google.com/spreadsheets/d/1SX6NBoVAgQJ6U1MVXOaj8PK2l7WJ3RER9xtqwdhxkhw/edit?usp=sharing"",""ราชบุรี!I506"")"),50)</f>
        <v>50</v>
      </c>
      <c r="J611" s="162">
        <f ca="1">IFERROR(__xludf.DUMMYFUNCTION("IMPORTRANGE(""https://docs.google.com/spreadsheets/d/1SX6NBoVAgQJ6U1MVXOaj8PK2l7WJ3RER9xtqwdhxkhw/edit?usp=sharing"",""ราชบุรี!J506"")"),0)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IFERROR(__xludf.DUMMYFUNCTION("IMPORTRANGE(""https://docs.google.com/spreadsheets/d/1SX6NBoVAgQJ6U1MVXOaj8PK2l7WJ3RER9xtqwdhxkhw/edit?usp=sharing"",""ราชบุรี!I507"")"),0)</f>
        <v>0</v>
      </c>
      <c r="J612" s="198">
        <f ca="1">IFERROR(__xludf.DUMMYFUNCTION("IMPORTRANGE(""https://docs.google.com/spreadsheets/d/1SX6NBoVAgQJ6U1MVXOaj8PK2l7WJ3RER9xtqwdhxkhw/edit?usp=sharing"",""ราชบุรี!J507"")"),0)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IFERROR(__xludf.DUMMYFUNCTION("IMPORTRANGE(""https://docs.google.com/spreadsheets/d/1SX6NBoVAgQJ6U1MVXOaj8PK2l7WJ3RER9xtqwdhxkhw/edit?usp=sharing"",""ราชบุรี!I508"")"),0)</f>
        <v>0</v>
      </c>
      <c r="J613" s="198">
        <f ca="1">IFERROR(__xludf.DUMMYFUNCTION("IMPORTRANGE(""https://docs.google.com/spreadsheets/d/1SX6NBoVAgQJ6U1MVXOaj8PK2l7WJ3RER9xtqwdhxkhw/edit?usp=sharing"",""ราชบุรี!J508"")"),0)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IFERROR(__xludf.DUMMYFUNCTION("IMPORTRANGE(""https://docs.google.com/spreadsheets/d/1SX6NBoVAgQJ6U1MVXOaj8PK2l7WJ3RER9xtqwdhxkhw/edit?usp=sharing"",""ราชบุรี!I509"")"),0)</f>
        <v>0</v>
      </c>
      <c r="J614" s="198">
        <f ca="1">IFERROR(__xludf.DUMMYFUNCTION("IMPORTRANGE(""https://docs.google.com/spreadsheets/d/1SX6NBoVAgQJ6U1MVXOaj8PK2l7WJ3RER9xtqwdhxkhw/edit?usp=sharing"",""ราชบุรี!J509"")"),0)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IFERROR(__xludf.DUMMYFUNCTION("IMPORTRANGE(""https://docs.google.com/spreadsheets/d/1SX6NBoVAgQJ6U1MVXOaj8PK2l7WJ3RER9xtqwdhxkhw/edit?usp=sharing"",""ราชบุรี!I510"")"),0)</f>
        <v>0</v>
      </c>
      <c r="J615" s="198">
        <f ca="1">IFERROR(__xludf.DUMMYFUNCTION("IMPORTRANGE(""https://docs.google.com/spreadsheets/d/1SX6NBoVAgQJ6U1MVXOaj8PK2l7WJ3RER9xtqwdhxkhw/edit?usp=sharing"",""ราชบุรี!J510"")"),0)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IFERROR(__xludf.DUMMYFUNCTION("IMPORTRANGE(""https://docs.google.com/spreadsheets/d/1SX6NBoVAgQJ6U1MVXOaj8PK2l7WJ3RER9xtqwdhxkhw/edit?usp=sharing"",""ราชบุรี!I511"")"),0)</f>
        <v>0</v>
      </c>
      <c r="J616" s="198">
        <f ca="1">IFERROR(__xludf.DUMMYFUNCTION("IMPORTRANGE(""https://docs.google.com/spreadsheets/d/1SX6NBoVAgQJ6U1MVXOaj8PK2l7WJ3RER9xtqwdhxkhw/edit?usp=sharing"",""ราชบุรี!J511"")"),0)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IFERROR(__xludf.DUMMYFUNCTION("IMPORTRANGE(""https://docs.google.com/spreadsheets/d/1SX6NBoVAgQJ6U1MVXOaj8PK2l7WJ3RER9xtqwdhxkhw/edit?usp=sharing"",""ราชบุรี!I512"")"),0)</f>
        <v>0</v>
      </c>
      <c r="J617" s="188">
        <f ca="1">IFERROR(__xludf.DUMMYFUNCTION("IMPORTRANGE(""https://docs.google.com/spreadsheets/d/1SX6NBoVAgQJ6U1MVXOaj8PK2l7WJ3RER9xtqwdhxkhw/edit?usp=sharing"",""ราชบุรี!J512"")"),0)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IFERROR(__xludf.DUMMYFUNCTION("IMPORTRANGE(""https://docs.google.com/spreadsheets/d/1SX6NBoVAgQJ6U1MVXOaj8PK2l7WJ3RER9xtqwdhxkhw/edit?usp=sharing"",""ราชบุรี!I513"")"),0)</f>
        <v>0</v>
      </c>
      <c r="J618" s="189">
        <f ca="1">IFERROR(__xludf.DUMMYFUNCTION("IMPORTRANGE(""https://docs.google.com/spreadsheets/d/1SX6NBoVAgQJ6U1MVXOaj8PK2l7WJ3RER9xtqwdhxkhw/edit?usp=sharing"",""ราชบุรี!J513"")"),0)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IFERROR(__xludf.DUMMYFUNCTION("IMPORTRANGE(""https://docs.google.com/spreadsheets/d/1SX6NBoVAgQJ6U1MVXOaj8PK2l7WJ3RER9xtqwdhxkhw/edit?usp=sharing"",""ราชบุรี!I514"")"),0)</f>
        <v>0</v>
      </c>
      <c r="J619" s="189">
        <f ca="1">IFERROR(__xludf.DUMMYFUNCTION("IMPORTRANGE(""https://docs.google.com/spreadsheets/d/1SX6NBoVAgQJ6U1MVXOaj8PK2l7WJ3RER9xtqwdhxkhw/edit?usp=sharing"",""ราชบุรี!J514"")"),0)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IFERROR(__xludf.DUMMYFUNCTION("IMPORTRANGE(""https://docs.google.com/spreadsheets/d/1SX6NBoVAgQJ6U1MVXOaj8PK2l7WJ3RER9xtqwdhxkhw/edit?usp=sharing"",""ราชบุรี!I515"")"),0)</f>
        <v>0</v>
      </c>
      <c r="J620" s="203">
        <f ca="1">IFERROR(__xludf.DUMMYFUNCTION("IMPORTRANGE(""https://docs.google.com/spreadsheets/d/1SX6NBoVAgQJ6U1MVXOaj8PK2l7WJ3RER9xtqwdhxkhw/edit?usp=sharing"",""ราชบุรี!J515"")"),0)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IFERROR(__xludf.DUMMYFUNCTION("IMPORTRANGE(""https://docs.google.com/spreadsheets/d/1SX6NBoVAgQJ6U1MVXOaj8PK2l7WJ3RER9xtqwdhxkhw/edit?usp=sharing"",""ราชบุรี!I516"")"),0)</f>
        <v>0</v>
      </c>
      <c r="J621" s="203">
        <f ca="1">IFERROR(__xludf.DUMMYFUNCTION("IMPORTRANGE(""https://docs.google.com/spreadsheets/d/1SX6NBoVAgQJ6U1MVXOaj8PK2l7WJ3RER9xtqwdhxkhw/edit?usp=sharing"",""ราชบุรี!J516"")"),0)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IFERROR(__xludf.DUMMYFUNCTION("IMPORTRANGE(""https://docs.google.com/spreadsheets/d/1SX6NBoVAgQJ6U1MVXOaj8PK2l7WJ3RER9xtqwdhxkhw/edit?usp=sharing"",""ราชบุรี!I517"")"),0)</f>
        <v>0</v>
      </c>
      <c r="J622" s="189">
        <f ca="1">IFERROR(__xludf.DUMMYFUNCTION("IMPORTRANGE(""https://docs.google.com/spreadsheets/d/1SX6NBoVAgQJ6U1MVXOaj8PK2l7WJ3RER9xtqwdhxkhw/edit?usp=sharing"",""ราชบุรี!J517"")"),0)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IFERROR(__xludf.DUMMYFUNCTION("IMPORTRANGE(""https://docs.google.com/spreadsheets/d/1SX6NBoVAgQJ6U1MVXOaj8PK2l7WJ3RER9xtqwdhxkhw/edit?usp=sharing"",""ราชบุรี!I518"")"),0)</f>
        <v>0</v>
      </c>
      <c r="J623" s="189">
        <f ca="1">IFERROR(__xludf.DUMMYFUNCTION("IMPORTRANGE(""https://docs.google.com/spreadsheets/d/1SX6NBoVAgQJ6U1MVXOaj8PK2l7WJ3RER9xtqwdhxkhw/edit?usp=sharing"",""ราชบุรี!J518"")"),0)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IFERROR(__xludf.DUMMYFUNCTION("IMPORTRANGE(""https://docs.google.com/spreadsheets/d/1SX6NBoVAgQJ6U1MVXOaj8PK2l7WJ3RER9xtqwdhxkhw/edit?usp=sharing"",""ราชบุรี!I519"")"),0)</f>
        <v>0</v>
      </c>
      <c r="J624" s="188">
        <f ca="1">IFERROR(__xludf.DUMMYFUNCTION("IMPORTRANGE(""https://docs.google.com/spreadsheets/d/1SX6NBoVAgQJ6U1MVXOaj8PK2l7WJ3RER9xtqwdhxkhw/edit?usp=sharing"",""ราชบุรี!J519"")"),0)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IFERROR(__xludf.DUMMYFUNCTION("IMPORTRANGE(""https://docs.google.com/spreadsheets/d/1SX6NBoVAgQJ6U1MVXOaj8PK2l7WJ3RER9xtqwdhxkhw/edit?usp=sharing"",""ราชบุรี!I520"")"),0)</f>
        <v>0</v>
      </c>
      <c r="J625" s="189">
        <f ca="1">IFERROR(__xludf.DUMMYFUNCTION("IMPORTRANGE(""https://docs.google.com/spreadsheets/d/1SX6NBoVAgQJ6U1MVXOaj8PK2l7WJ3RER9xtqwdhxkhw/edit?usp=sharing"",""ราชบุรี!J520"")"),0)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IFERROR(__xludf.DUMMYFUNCTION("IMPORTRANGE(""https://docs.google.com/spreadsheets/d/1SX6NBoVAgQJ6U1MVXOaj8PK2l7WJ3RER9xtqwdhxkhw/edit?usp=sharing"",""ราชบุรี!I521"")"),0)</f>
        <v>0</v>
      </c>
      <c r="J626" s="189">
        <f ca="1">IFERROR(__xludf.DUMMYFUNCTION("IMPORTRANGE(""https://docs.google.com/spreadsheets/d/1SX6NBoVAgQJ6U1MVXOaj8PK2l7WJ3RER9xtqwdhxkhw/edit?usp=sharing"",""ราชบุรี!J521"")"),0)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IFERROR(__xludf.DUMMYFUNCTION("IMPORTRANGE(""https://docs.google.com/spreadsheets/d/1SX6NBoVAgQJ6U1MVXOaj8PK2l7WJ3RER9xtqwdhxkhw/edit?usp=sharing"",""ราชบุรี!I523"")"),1472613.85)</f>
        <v>1472613.85</v>
      </c>
      <c r="J628" s="342">
        <f ca="1">IFERROR(__xludf.DUMMYFUNCTION("IMPORTRANGE(""https://docs.google.com/spreadsheets/d/1SX6NBoVAgQJ6U1MVXOaj8PK2l7WJ3RER9xtqwdhxkhw/edit?usp=sharing"",""ราชบุรี!J523"")"),1419484.64)</f>
        <v>1419484.64</v>
      </c>
      <c r="K628" s="343">
        <f t="shared" ref="K628:K635" ca="1" si="129">IF(I628&gt;0,J628*100/I628,0)</f>
        <v>96.392183191812293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IFERROR(__xludf.DUMMYFUNCTION("IMPORTRANGE(""https://docs.google.com/spreadsheets/d/1SX6NBoVAgQJ6U1MVXOaj8PK2l7WJ3RER9xtqwdhxkhw/edit?usp=sharing"",""ราชบุรี!I524"")"),101)</f>
        <v>101</v>
      </c>
      <c r="J629" s="342">
        <f ca="1">IFERROR(__xludf.DUMMYFUNCTION("IMPORTRANGE(""https://docs.google.com/spreadsheets/d/1SX6NBoVAgQJ6U1MVXOaj8PK2l7WJ3RER9xtqwdhxkhw/edit?usp=sharing"",""ราชบุรี!J524"")"),97)</f>
        <v>97</v>
      </c>
      <c r="K629" s="343">
        <f t="shared" ca="1" si="129"/>
        <v>96.039603960396036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IFERROR(__xludf.DUMMYFUNCTION("IMPORTRANGE(""https://docs.google.com/spreadsheets/d/1SX6NBoVAgQJ6U1MVXOaj8PK2l7WJ3RER9xtqwdhxkhw/edit?usp=sharing"",""ราชบุรี!I525"")"),4148676.3)</f>
        <v>4148676.3</v>
      </c>
      <c r="J630" s="342">
        <f ca="1">IFERROR(__xludf.DUMMYFUNCTION("IMPORTRANGE(""https://docs.google.com/spreadsheets/d/1SX6NBoVAgQJ6U1MVXOaj8PK2l7WJ3RER9xtqwdhxkhw/edit?usp=sharing"",""ราชบุรี!J525"")"),1036066.67)</f>
        <v>1036066.67</v>
      </c>
      <c r="K630" s="343">
        <f t="shared" ca="1" si="129"/>
        <v>24.973427548444789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IFERROR(__xludf.DUMMYFUNCTION("IMPORTRANGE(""https://docs.google.com/spreadsheets/d/1SX6NBoVAgQJ6U1MVXOaj8PK2l7WJ3RER9xtqwdhxkhw/edit?usp=sharing"",""ราชบุรี!I526"")"),203)</f>
        <v>203</v>
      </c>
      <c r="J631" s="342">
        <f ca="1">IFERROR(__xludf.DUMMYFUNCTION("IMPORTRANGE(""https://docs.google.com/spreadsheets/d/1SX6NBoVAgQJ6U1MVXOaj8PK2l7WJ3RER9xtqwdhxkhw/edit?usp=sharing"",""ราชบุรี!J526"")"),137)</f>
        <v>137</v>
      </c>
      <c r="K631" s="343">
        <f t="shared" ca="1" si="129"/>
        <v>67.487684729064043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IFERROR(__xludf.DUMMYFUNCTION("IMPORTRANGE(""https://docs.google.com/spreadsheets/d/1SX6NBoVAgQJ6U1MVXOaj8PK2l7WJ3RER9xtqwdhxkhw/edit?usp=sharing"",""ราชบุรี!I527"")"),130782.22)</f>
        <v>130782.22</v>
      </c>
      <c r="J632" s="342">
        <f ca="1">IFERROR(__xludf.DUMMYFUNCTION("IMPORTRANGE(""https://docs.google.com/spreadsheets/d/1SX6NBoVAgQJ6U1MVXOaj8PK2l7WJ3RER9xtqwdhxkhw/edit?usp=sharing"",""ราชบุรี!J527"")"),85095.34)</f>
        <v>85095.34</v>
      </c>
      <c r="K632" s="343">
        <f t="shared" ca="1" si="129"/>
        <v>65.066444047210695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IFERROR(__xludf.DUMMYFUNCTION("IMPORTRANGE(""https://docs.google.com/spreadsheets/d/1SX6NBoVAgQJ6U1MVXOaj8PK2l7WJ3RER9xtqwdhxkhw/edit?usp=sharing"",""ราชบุรี!I528"")"),15)</f>
        <v>15</v>
      </c>
      <c r="J633" s="342">
        <f ca="1">IFERROR(__xludf.DUMMYFUNCTION("IMPORTRANGE(""https://docs.google.com/spreadsheets/d/1SX6NBoVAgQJ6U1MVXOaj8PK2l7WJ3RER9xtqwdhxkhw/edit?usp=sharing"",""ราชบุรี!J528"")"),11)</f>
        <v>11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IFERROR(__xludf.DUMMYFUNCTION("IMPORTRANGE(""https://docs.google.com/spreadsheets/d/1SX6NBoVAgQJ6U1MVXOaj8PK2l7WJ3RER9xtqwdhxkhw/edit?usp=sharing"",""ราชบุรี!I529"")"),2000000)</f>
        <v>2000000</v>
      </c>
      <c r="J634" s="342">
        <f ca="1">IFERROR(__xludf.DUMMYFUNCTION("IMPORTRANGE(""https://docs.google.com/spreadsheets/d/1SX6NBoVAgQJ6U1MVXOaj8PK2l7WJ3RER9xtqwdhxkhw/edit?usp=sharing"",""ราชบุรี!J529"")"),1590000)</f>
        <v>1590000</v>
      </c>
      <c r="K634" s="343">
        <f t="shared" ca="1" si="129"/>
        <v>79.5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IFERROR(__xludf.DUMMYFUNCTION("IMPORTRANGE(""https://docs.google.com/spreadsheets/d/1SX6NBoVAgQJ6U1MVXOaj8PK2l7WJ3RER9xtqwdhxkhw/edit?usp=sharing"",""ราชบุรี!I530"")"),76)</f>
        <v>76</v>
      </c>
      <c r="J635" s="505">
        <f ca="1">IFERROR(__xludf.DUMMYFUNCTION("IMPORTRANGE(""https://docs.google.com/spreadsheets/d/1SX6NBoVAgQJ6U1MVXOaj8PK2l7WJ3RER9xtqwdhxkhw/edit?usp=sharing"",""ราชบุรี!J530"")"),53)</f>
        <v>53</v>
      </c>
      <c r="K635" s="487">
        <f t="shared" ca="1" si="129"/>
        <v>69.736842105263165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1520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1520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1520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IFERROR(__xludf.DUMMYFUNCTION("IMPORTRANGE(""https://docs.google.com/spreadsheets/d/1SX6NBoVAgQJ6U1MVXOaj8PK2l7WJ3RER9xtqwdhxkhw/edit#gid=346597447"",""ราชบุรี!J541"")"),0)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IFERROR(__xludf.DUMMYFUNCTION("IMPORTRANGE(""https://docs.google.com/spreadsheets/d/1SX6NBoVAgQJ6U1MVXOaj8PK2l7WJ3RER9xtqwdhxkhw/edit#gid=346597447"",""ราชบุรี!J542"")"),0)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IFERROR(__xludf.DUMMYFUNCTION("IMPORTRANGE(""https://docs.google.com/spreadsheets/d/1SX6NBoVAgQJ6U1MVXOaj8PK2l7WJ3RER9xtqwdhxkhw/edit#gid=346597447"",""ราชบุรี!I543"")"),16)</f>
        <v>16</v>
      </c>
      <c r="J648" s="537">
        <f ca="1">IFERROR(__xludf.DUMMYFUNCTION("IMPORTRANGE(""https://docs.google.com/spreadsheets/d/1SX6NBoVAgQJ6U1MVXOaj8PK2l7WJ3RER9xtqwdhxkhw/edit#gid=346597447"",""ราชบุรี!J543"")"),0)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IFERROR(__xludf.DUMMYFUNCTION("IMPORTRANGE(""https://docs.google.com/spreadsheets/d/1SX6NBoVAgQJ6U1MVXOaj8PK2l7WJ3RER9xtqwdhxkhw/edit#gid=346597447"",""ราชบุรี!L543"")"),1280)</f>
        <v>1280</v>
      </c>
      <c r="M648" s="522"/>
      <c r="N648" s="539">
        <f ca="1">IFERROR(__xludf.DUMMYFUNCTION("IMPORTRANGE(""https://docs.google.com/spreadsheets/d/1SX6NBoVAgQJ6U1MVXOaj8PK2l7WJ3RER9xtqwdhxkhw/edit#gid=346597447"",""ราชบุรี!M543"")"),0)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IFERROR(__xludf.DUMMYFUNCTION("IMPORTRANGE(""https://docs.google.com/spreadsheets/d/1SX6NBoVAgQJ6U1MVXOaj8PK2l7WJ3RER9xtqwdhxkhw/edit#gid=346597447"",""ราชบุรี!I544"")"),2)</f>
        <v>2</v>
      </c>
      <c r="J649" s="537">
        <f ca="1">IFERROR(__xludf.DUMMYFUNCTION("IMPORTRANGE(""https://docs.google.com/spreadsheets/d/1SX6NBoVAgQJ6U1MVXOaj8PK2l7WJ3RER9xtqwdhxkhw/edit#gid=346597447"",""ราชบุรี!J544"")"),0)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IFERROR(__xludf.DUMMYFUNCTION("IMPORTRANGE(""https://docs.google.com/spreadsheets/d/1SX6NBoVAgQJ6U1MVXOaj8PK2l7WJ3RER9xtqwdhxkhw/edit#gid=346597447"",""ราชบุรี!L544"")"),240)</f>
        <v>240</v>
      </c>
      <c r="M649" s="522"/>
      <c r="N649" s="539">
        <f ca="1">IFERROR(__xludf.DUMMYFUNCTION("IMPORTRANGE(""https://docs.google.com/spreadsheets/d/1SX6NBoVAgQJ6U1MVXOaj8PK2l7WJ3RER9xtqwdhxkhw/edit#gid=346597447"",""ราชบุรี!M544"")"),0)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IFERROR(__xludf.DUMMYFUNCTION("IMPORTRANGE(""https://docs.google.com/spreadsheets/d/1SX6NBoVAgQJ6U1MVXOaj8PK2l7WJ3RER9xtqwdhxkhw/edit#gid=346597447"",""ราชบุรี!I545"")"),0)</f>
        <v>0</v>
      </c>
      <c r="J650" s="537">
        <f ca="1">IFERROR(__xludf.DUMMYFUNCTION("IMPORTRANGE(""https://docs.google.com/spreadsheets/d/1SX6NBoVAgQJ6U1MVXOaj8PK2l7WJ3RER9xtqwdhxkhw/edit#gid=346597447"",""ราชบุรี!J545"")"),0)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IFERROR(__xludf.DUMMYFUNCTION("IMPORTRANGE(""https://docs.google.com/spreadsheets/d/1SX6NBoVAgQJ6U1MVXOaj8PK2l7WJ3RER9xtqwdhxkhw/edit#gid=346597447"",""ราชบุรี!L545"")"),0)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IFERROR(__xludf.DUMMYFUNCTION("IMPORTRANGE(""https://docs.google.com/spreadsheets/d/1SX6NBoVAgQJ6U1MVXOaj8PK2l7WJ3RER9xtqwdhxkhw/edit#gid=346597447"",""ราชบุรี!M545"")"),0)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IFERROR(__xludf.DUMMYFUNCTION("IMPORTRANGE(""https://docs.google.com/spreadsheets/d/1SX6NBoVAgQJ6U1MVXOaj8PK2l7WJ3RER9xtqwdhxkhw/edit#gid=346597447"",""ราชบุรี!I546"")"),0)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IFERROR(__xludf.DUMMYFUNCTION("IMPORTRANGE(""https://docs.google.com/spreadsheets/d/1SX6NBoVAgQJ6U1MVXOaj8PK2l7WJ3RER9xtqwdhxkhw/edit#gid=346597447"",""ราชบุรี!L546"")"),0)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IFERROR(__xludf.DUMMYFUNCTION("IMPORTRANGE(""https://docs.google.com/spreadsheets/d/1SX6NBoVAgQJ6U1MVXOaj8PK2l7WJ3RER9xtqwdhxkhw/edit#gid=346597447"",""ราชบุรี!M546"")"),0)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IFERROR(__xludf.DUMMYFUNCTION("IMPORTRANGE(""https://docs.google.com/spreadsheets/d/1SX6NBoVAgQJ6U1MVXOaj8PK2l7WJ3RER9xtqwdhxkhw/edit#gid=346597447"",""ราชบุรี!J547"")"),0)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IFERROR(__xludf.DUMMYFUNCTION("IMPORTRANGE(""https://docs.google.com/spreadsheets/d/1SX6NBoVAgQJ6U1MVXOaj8PK2l7WJ3RER9xtqwdhxkhw/edit#gid=346597447"",""ราชบุรี!J548"")"),0)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IFERROR(__xludf.DUMMYFUNCTION("IMPORTRANGE(""https://docs.google.com/spreadsheets/d/1SX6NBoVAgQJ6U1MVXOaj8PK2l7WJ3RER9xtqwdhxkhw/edit#gid=346597447"",""ราชบุรี!J550"")"),0)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IFERROR(__xludf.DUMMYFUNCTION("IMPORTRANGE(""https://docs.google.com/spreadsheets/d/1SX6NBoVAgQJ6U1MVXOaj8PK2l7WJ3RER9xtqwdhxkhw/edit#gid=346597447"",""ราชบุรี!J551"")"),0)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IFERROR(__xludf.DUMMYFUNCTION("IMPORTRANGE(""https://docs.google.com/spreadsheets/d/1SX6NBoVAgQJ6U1MVXOaj8PK2l7WJ3RER9xtqwdhxkhw/edit#gid=346597447"",""ราชบุรี!J552"")"),0)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IFERROR(__xludf.DUMMYFUNCTION("IMPORTRANGE(""https://docs.google.com/spreadsheets/d/1SX6NBoVAgQJ6U1MVXOaj8PK2l7WJ3RER9xtqwdhxkhw/edit#gid=346597447"",""ราชบุรี!J553"")"),0)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IFERROR(__xludf.DUMMYFUNCTION("IMPORTRANGE(""https://docs.google.com/spreadsheets/d/1SX6NBoVAgQJ6U1MVXOaj8PK2l7WJ3RER9xtqwdhxkhw/edit#gid=346597447"",""ราชบุรี!J554"")"),0)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IFERROR(__xludf.DUMMYFUNCTION("IMPORTRANGE(""https://docs.google.com/spreadsheets/d/1SX6NBoVAgQJ6U1MVXOaj8PK2l7WJ3RER9xtqwdhxkhw/edit#gid=346597447"",""ราชบุรี!J555"")"),0)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IFERROR(__xludf.DUMMYFUNCTION("IMPORTRANGE(""https://docs.google.com/spreadsheets/d/1SX6NBoVAgQJ6U1MVXOaj8PK2l7WJ3RER9xtqwdhxkhw/edit#gid=346597447"",""ราชบุรี!J556"")"),0)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IFERROR(__xludf.DUMMYFUNCTION("IMPORTRANGE(""https://docs.google.com/spreadsheets/d/1SX6NBoVAgQJ6U1MVXOaj8PK2l7WJ3RER9xtqwdhxkhw/edit#gid=346597447"",""ราชบุรี!L556"")"),0)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IFERROR(__xludf.DUMMYFUNCTION("IMPORTRANGE(""https://docs.google.com/spreadsheets/d/1SX6NBoVAgQJ6U1MVXOaj8PK2l7WJ3RER9xtqwdhxkhw/edit#gid=346597447"",""ราชบุรี!M556"")"),0)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IFERROR(__xludf.DUMMYFUNCTION("IMPORTRANGE(""https://docs.google.com/spreadsheets/d/1SX6NBoVAgQJ6U1MVXOaj8PK2l7WJ3RER9xtqwdhxkhw/edit#gid=346597447"",""ราชบุรี!J557"")"),0)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IFERROR(__xludf.DUMMYFUNCTION("IMPORTRANGE(""https://docs.google.com/spreadsheets/d/1SX6NBoVAgQJ6U1MVXOaj8PK2l7WJ3RER9xtqwdhxkhw/edit#gid=346597447"",""ราชบุรี!I558"")"),0)</f>
        <v>0</v>
      </c>
      <c r="J663" s="537">
        <f ca="1">IFERROR(__xludf.DUMMYFUNCTION("IMPORTRANGE(""https://docs.google.com/spreadsheets/d/1SX6NBoVAgQJ6U1MVXOaj8PK2l7WJ3RER9xtqwdhxkhw/edit#gid=346597447"",""ราชบุรี!J558"")"),0)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IFERROR(__xludf.DUMMYFUNCTION("IMPORTRANGE(""https://docs.google.com/spreadsheets/d/1SX6NBoVAgQJ6U1MVXOaj8PK2l7WJ3RER9xtqwdhxkhw/edit#gid=346597447"",""ราชบุรี!I560"")"),0)</f>
        <v>0</v>
      </c>
      <c r="J665" s="537">
        <f ca="1">IFERROR(__xludf.DUMMYFUNCTION("IMPORTRANGE(""https://docs.google.com/spreadsheets/d/1SX6NBoVAgQJ6U1MVXOaj8PK2l7WJ3RER9xtqwdhxkhw/edit#gid=346597447"",""ราชบุรี!J560"")"),0)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IFERROR(__xludf.DUMMYFUNCTION("IMPORTRANGE(""https://docs.google.com/spreadsheets/d/1SX6NBoVAgQJ6U1MVXOaj8PK2l7WJ3RER9xtqwdhxkhw/edit#gid=346597447"",""ราชบุรี!L560"")"),0)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IFERROR(__xludf.DUMMYFUNCTION("IMPORTRANGE(""https://docs.google.com/spreadsheets/d/1SX6NBoVAgQJ6U1MVXOaj8PK2l7WJ3RER9xtqwdhxkhw/edit#gid=346597447"",""ราชบุรี!M560"")"),0)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IFERROR(__xludf.DUMMYFUNCTION("IMPORTRANGE(""https://docs.google.com/spreadsheets/d/1SX6NBoVAgQJ6U1MVXOaj8PK2l7WJ3RER9xtqwdhxkhw/edit#gid=346597447"",""ราชบุรี!J561"")"),0)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IFERROR(__xludf.DUMMYFUNCTION("IMPORTRANGE(""https://docs.google.com/spreadsheets/d/1SX6NBoVAgQJ6U1MVXOaj8PK2l7WJ3RER9xtqwdhxkhw/edit#gid=346597447"",""ราชบุรี!J562"")"),0)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IFERROR(__xludf.DUMMYFUNCTION("IMPORTRANGE(""https://docs.google.com/spreadsheets/d/1SX6NBoVAgQJ6U1MVXOaj8PK2l7WJ3RER9xtqwdhxkhw/edit#gid=346597447"",""ราชบุรี!I563"")"),0)</f>
        <v>0</v>
      </c>
      <c r="J668" s="537">
        <f ca="1">IFERROR(__xludf.DUMMYFUNCTION("IMPORTRANGE(""https://docs.google.com/spreadsheets/d/1SX6NBoVAgQJ6U1MVXOaj8PK2l7WJ3RER9xtqwdhxkhw/edit#gid=346597447"",""ราชบุรี!J563"")"),0)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IFERROR(__xludf.DUMMYFUNCTION("IMPORTRANGE(""https://docs.google.com/spreadsheets/d/1SX6NBoVAgQJ6U1MVXOaj8PK2l7WJ3RER9xtqwdhxkhw/edit#gid=346597447"",""ราชบุรี!L563"")"),0)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IFERROR(__xludf.DUMMYFUNCTION("IMPORTRANGE(""https://docs.google.com/spreadsheets/d/1SX6NBoVAgQJ6U1MVXOaj8PK2l7WJ3RER9xtqwdhxkhw/edit#gid=346597447"",""ราชบุรี!M563"")"),0)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IFERROR(__xludf.DUMMYFUNCTION("IMPORTRANGE(""https://docs.google.com/spreadsheets/d/1SX6NBoVAgQJ6U1MVXOaj8PK2l7WJ3RER9xtqwdhxkhw/edit#gid=346597447"",""ราชบุรี!J564"")"),0)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IFERROR(__xludf.DUMMYFUNCTION("IMPORTRANGE(""https://docs.google.com/spreadsheets/d/1SX6NBoVAgQJ6U1MVXOaj8PK2l7WJ3RER9xtqwdhxkhw/edit#gid=346597447"",""ราชบุรี!J565"")"),0)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IFERROR(__xludf.DUMMYFUNCTION("IMPORTRANGE(""https://docs.google.com/spreadsheets/d/1SX6NBoVAgQJ6U1MVXOaj8PK2l7WJ3RER9xtqwdhxkhw/edit#gid=346597447"",""ราชบุรี!I566"")"),0)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IFERROR(__xludf.DUMMYFUNCTION("IMPORTRANGE(""https://docs.google.com/spreadsheets/d/1SX6NBoVAgQJ6U1MVXOaj8PK2l7WJ3RER9xtqwdhxkhw/edit#gid=346597447"",""ราชบุรี!L566"")"),0)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IFERROR(__xludf.DUMMYFUNCTION("IMPORTRANGE(""https://docs.google.com/spreadsheets/d/1SX6NBoVAgQJ6U1MVXOaj8PK2l7WJ3RER9xtqwdhxkhw/edit#gid=346597447"",""ราชบุรี!M566"")"),0)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IFERROR(__xludf.DUMMYFUNCTION("IMPORTRANGE(""https://docs.google.com/spreadsheets/d/1SX6NBoVAgQJ6U1MVXOaj8PK2l7WJ3RER9xtqwdhxkhw/edit#gid=346597447"",""ราชบุรี!J567"")"),0)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IFERROR(__xludf.DUMMYFUNCTION("IMPORTRANGE(""https://docs.google.com/spreadsheets/d/1SX6NBoVAgQJ6U1MVXOaj8PK2l7WJ3RER9xtqwdhxkhw/edit#gid=346597447"",""ราชบุรี!J568"")"),0)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IFERROR(__xludf.DUMMYFUNCTION("IMPORTRANGE(""https://docs.google.com/spreadsheets/d/1SX6NBoVAgQJ6U1MVXOaj8PK2l7WJ3RER9xtqwdhxkhw/edit#gid=346597447"",""ราชบุรี!J569"")"),0)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IFERROR(__xludf.DUMMYFUNCTION("IMPORTRANGE(""https://docs.google.com/spreadsheets/d/1SX6NBoVAgQJ6U1MVXOaj8PK2l7WJ3RER9xtqwdhxkhw/edit#gid=346597447"",""ราชบุรี!J570"")"),0)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IFERROR(__xludf.DUMMYFUNCTION("IMPORTRANGE(""https://docs.google.com/spreadsheets/d/1SX6NBoVAgQJ6U1MVXOaj8PK2l7WJ3RER9xtqwdhxkhw/edit#gid=346597447"",""ราชบุรี!J571"")"),0)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IFERROR(__xludf.DUMMYFUNCTION("IMPORTRANGE(""https://docs.google.com/spreadsheets/d/1SX6NBoVAgQJ6U1MVXOaj8PK2l7WJ3RER9xtqwdhxkhw/edit#gid=346597447"",""ราชบุรี!J572"")"),0)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11417720</v>
      </c>
      <c r="M8" s="23">
        <f t="shared" ca="1" si="0"/>
        <v>8897351</v>
      </c>
      <c r="N8" s="23">
        <f t="shared" ca="1" si="0"/>
        <v>9107178.5600000005</v>
      </c>
      <c r="O8" s="22">
        <f t="shared" ref="O8:O16" ca="1" si="1">IF(L8&gt;0,N8*100/L8,0)</f>
        <v>79.763547888720339</v>
      </c>
      <c r="P8" s="22">
        <f t="shared" ref="P8:P16" ca="1" si="2">IF(M8&gt;0,N8*100/M8,0)</f>
        <v>102.35831496363356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11417720</v>
      </c>
      <c r="M10" s="30">
        <f t="shared" ca="1" si="4"/>
        <v>8897351</v>
      </c>
      <c r="N10" s="30">
        <f t="shared" ca="1" si="4"/>
        <v>9107178.5600000005</v>
      </c>
      <c r="O10" s="29">
        <f t="shared" ca="1" si="1"/>
        <v>79.763547888720339</v>
      </c>
      <c r="P10" s="29">
        <f t="shared" ca="1" si="2"/>
        <v>102.35831496363356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7195570</v>
      </c>
      <c r="M12" s="38">
        <f t="shared" ca="1" si="6"/>
        <v>4697351</v>
      </c>
      <c r="N12" s="38">
        <f t="shared" ca="1" si="6"/>
        <v>4907178.5600000005</v>
      </c>
      <c r="O12" s="38">
        <f t="shared" ca="1" si="1"/>
        <v>68.19721801052593</v>
      </c>
      <c r="P12" s="38">
        <f t="shared" ca="1" si="2"/>
        <v>104.46693381014109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2348700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4846870</v>
      </c>
      <c r="M14" s="38">
        <f t="shared" si="8"/>
        <v>0</v>
      </c>
      <c r="N14" s="38">
        <f t="shared" ca="1" si="8"/>
        <v>938087.15</v>
      </c>
      <c r="O14" s="38">
        <f t="shared" ca="1" si="1"/>
        <v>19.354493724816223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4222150</v>
      </c>
      <c r="M16" s="38">
        <f t="shared" ca="1" si="10"/>
        <v>4200000</v>
      </c>
      <c r="N16" s="38">
        <f t="shared" ca="1" si="10"/>
        <v>4200000</v>
      </c>
      <c r="O16" s="49">
        <f t="shared" ca="1" si="1"/>
        <v>99.475385763177528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8848619</v>
      </c>
      <c r="M18" s="23">
        <f t="shared" ca="1" si="11"/>
        <v>8897351</v>
      </c>
      <c r="N18" s="23">
        <f t="shared" ca="1" si="11"/>
        <v>8169091.4100000001</v>
      </c>
      <c r="O18" s="22">
        <f t="shared" ref="O18:O20" ca="1" si="12">IF(L18&gt;0,N18*100/L18,0)</f>
        <v>92.320523801510717</v>
      </c>
      <c r="P18" s="22">
        <f t="shared" ref="P18:P26" ca="1" si="13">IF(M18&gt;0,N18*100/M18,0)</f>
        <v>91.814871752277725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8848619</v>
      </c>
      <c r="M20" s="30">
        <f t="shared" ca="1" si="15"/>
        <v>8897351</v>
      </c>
      <c r="N20" s="30">
        <f t="shared" ca="1" si="15"/>
        <v>8169091.4100000001</v>
      </c>
      <c r="O20" s="29">
        <f t="shared" ca="1" si="12"/>
        <v>92.320523801510717</v>
      </c>
      <c r="P20" s="29">
        <f t="shared" ca="1" si="13"/>
        <v>91.814871752277725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4626469</v>
      </c>
      <c r="M22" s="41">
        <f t="shared" ca="1" si="18"/>
        <v>4697351</v>
      </c>
      <c r="N22" s="38">
        <f t="shared" ca="1" si="18"/>
        <v>3969091.41</v>
      </c>
      <c r="O22" s="38">
        <f t="shared" ca="1" si="17"/>
        <v>85.790943590025137</v>
      </c>
      <c r="P22" s="38">
        <f t="shared" ca="1" si="13"/>
        <v>84.496377000569041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2348700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2277769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4222150</v>
      </c>
      <c r="M26" s="49">
        <f t="shared" ca="1" si="22"/>
        <v>4200000</v>
      </c>
      <c r="N26" s="49">
        <f t="shared" ca="1" si="22"/>
        <v>4200000</v>
      </c>
      <c r="O26" s="49">
        <f t="shared" ca="1" si="17"/>
        <v>99.475385763177528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2569101</v>
      </c>
      <c r="M28" s="23">
        <f t="shared" si="23"/>
        <v>0</v>
      </c>
      <c r="N28" s="23">
        <f t="shared" ca="1" si="23"/>
        <v>938087.15</v>
      </c>
      <c r="O28" s="22">
        <f t="shared" ref="O28:O30" ca="1" si="24">IF(L28&gt;0,N28*100/L28,0)</f>
        <v>36.514218397797521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2569101</v>
      </c>
      <c r="M30" s="30">
        <f t="shared" si="27"/>
        <v>0</v>
      </c>
      <c r="N30" s="30">
        <f t="shared" ca="1" si="27"/>
        <v>938087.15</v>
      </c>
      <c r="O30" s="29">
        <f t="shared" ca="1" si="24"/>
        <v>36.514218397797521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2569101</v>
      </c>
      <c r="M32" s="38">
        <f t="shared" si="30"/>
        <v>0</v>
      </c>
      <c r="N32" s="38">
        <f t="shared" ca="1" si="30"/>
        <v>938087.15</v>
      </c>
      <c r="O32" s="38">
        <f t="shared" ca="1" si="29"/>
        <v>36.514218397797521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2569101</v>
      </c>
      <c r="M34" s="38">
        <f t="shared" si="32"/>
        <v>0</v>
      </c>
      <c r="N34" s="38">
        <f t="shared" ca="1" si="32"/>
        <v>938087.15</v>
      </c>
      <c r="O34" s="38">
        <f t="shared" ca="1" si="29"/>
        <v>36.514218397797521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8848619</v>
      </c>
      <c r="M37" s="54">
        <f t="shared" ca="1" si="33"/>
        <v>8897351</v>
      </c>
      <c r="N37" s="54">
        <f t="shared" ca="1" si="33"/>
        <v>8169091.4100000001</v>
      </c>
      <c r="O37" s="55">
        <f t="shared" ca="1" si="29"/>
        <v>92.320523801510717</v>
      </c>
      <c r="P37" s="55">
        <f t="shared" ca="1" si="25"/>
        <v>91.814871752277725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826250</v>
      </c>
      <c r="M41" s="78">
        <f t="shared" ca="1" si="34"/>
        <v>804100</v>
      </c>
      <c r="N41" s="78">
        <f t="shared" ca="1" si="34"/>
        <v>662544.24</v>
      </c>
      <c r="O41" s="77">
        <f t="shared" ref="O41:O43" ca="1" si="35">IF(L41&gt;0,N41*100/L41,0)</f>
        <v>80.18689742813919</v>
      </c>
      <c r="P41" s="77">
        <f t="shared" ref="P41:P43" ca="1" si="36">IF(M41&gt;0,N41*100/M41,0)</f>
        <v>82.395751772167642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826250</v>
      </c>
      <c r="M43" s="78">
        <f t="shared" ca="1" si="38"/>
        <v>804100</v>
      </c>
      <c r="N43" s="78">
        <f t="shared" ca="1" si="38"/>
        <v>662544.24</v>
      </c>
      <c r="O43" s="77">
        <f t="shared" ca="1" si="35"/>
        <v>80.18689742813919</v>
      </c>
      <c r="P43" s="77">
        <f t="shared" ca="1" si="36"/>
        <v>82.395751772167642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804100</v>
      </c>
      <c r="M45" s="49">
        <f ca="1">IFERROR(__xludf.DUMMYFUNCTION("IMPORTRANGE(""https://docs.google.com/spreadsheets/d/1Yj_ptqi66GCucihVvJfMjLAmec39IyEx_6qawtMGysU/edit?usp=sharing"",""สบก!Q74"")"),804100)</f>
        <v>804100</v>
      </c>
      <c r="N45" s="49">
        <f ca="1">IFERROR(__xludf.DUMMYFUNCTION("IMPORTRANGE(""https://docs.google.com/spreadsheets/d/1Yj_ptqi66GCucihVvJfMjLAmec39IyEx_6qawtMGysU/edit?usp=sharing"",""สบก!R74"")"),662544.24)</f>
        <v>662544.24</v>
      </c>
      <c r="O45" s="38">
        <f ca="1">IF(L45&gt;0,N45*100/L45,0)</f>
        <v>82.395751772167642</v>
      </c>
      <c r="P45" s="38">
        <f ca="1">IF(M45&gt;0,N45*100/M45,0)</f>
        <v>82.395751772167642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IFERROR(__xludf.DUMMYFUNCTION("IMPORTRANGE(""https://docs.google.com/spreadsheets/d/1Yj_ptqi66GCucihVvJfMjLAmec39IyEx_6qawtMGysU/edit?usp=sharing"",""สบก!M74"")"),804100)</f>
        <v>804100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IFERROR(__xludf.DUMMYFUNCTION("IMPORTRANGE(""https://docs.google.com/spreadsheets/d/1Yj_ptqi66GCucihVvJfMjLAmec39IyEx_6qawtMGysU/edit?usp=sharing"",""สบก!O74"")"),22150)</f>
        <v>22150</v>
      </c>
      <c r="M49" s="49"/>
      <c r="N49" s="49">
        <f ca="1">IFERROR(__xludf.DUMMYFUNCTION("IMPORTRANGE(""https://docs.google.com/spreadsheets/d/1Yj_ptqi66GCucihVvJfMjLAmec39IyEx_6qawtMGysU/edit?usp=sharing"",""สบก!S74"")"),0)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605000</v>
      </c>
      <c r="M53" s="121">
        <f t="shared" ca="1" si="39"/>
        <v>618632</v>
      </c>
      <c r="N53" s="121">
        <f t="shared" ca="1" si="39"/>
        <v>611532</v>
      </c>
      <c r="O53" s="120">
        <f t="shared" ref="O53:O55" ca="1" si="40">IF(L53&gt;0,N53*100/L53,0)</f>
        <v>101.07966942148761</v>
      </c>
      <c r="P53" s="120">
        <f t="shared" ref="P53:P55" ca="1" si="41">IF(M53&gt;0,N53*100/M53,0)</f>
        <v>98.852306379236765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605000</v>
      </c>
      <c r="M55" s="121">
        <f t="shared" ca="1" si="43"/>
        <v>618632</v>
      </c>
      <c r="N55" s="121">
        <f t="shared" ca="1" si="43"/>
        <v>611532</v>
      </c>
      <c r="O55" s="120">
        <f t="shared" ca="1" si="40"/>
        <v>101.07966942148761</v>
      </c>
      <c r="P55" s="120">
        <f t="shared" ca="1" si="41"/>
        <v>98.852306379236765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605000</v>
      </c>
      <c r="M57" s="49">
        <f ca="1">IFERROR(__xludf.DUMMYFUNCTION("IMPORTRANGE(""https://docs.google.com/spreadsheets/d/1Yj_ptqi66GCucihVvJfMjLAmec39IyEx_6qawtMGysU/edit?usp=sharing"",""สบก!Z74"")"),618632)</f>
        <v>618632</v>
      </c>
      <c r="N57" s="49">
        <f ca="1">IFERROR(__xludf.DUMMYFUNCTION("IMPORTRANGE(""https://docs.google.com/spreadsheets/d/1Yj_ptqi66GCucihVvJfMjLAmec39IyEx_6qawtMGysU/edit?usp=sharing"",""สบก!AA74"")"),611532)</f>
        <v>611532</v>
      </c>
      <c r="O57" s="38">
        <f ca="1">IF(L57&gt;0,N57*100/L57,0)</f>
        <v>101.07966942148761</v>
      </c>
      <c r="P57" s="38">
        <f ca="1">IF(M57&gt;0,N57*100/M57,0)</f>
        <v>98.852306379236765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IFERROR(__xludf.DUMMYFUNCTION("IMPORTRANGE(""https://docs.google.com/spreadsheets/d/1Yj_ptqi66GCucihVvJfMjLAmec39IyEx_6qawtMGysU/edit?usp=sharing"",""สบก!V74"")"),605000)</f>
        <v>605000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IFERROR(__xludf.DUMMYFUNCTION("IMPORTRANGE(""https://docs.google.com/spreadsheets/d/1Yj_ptqi66GCucihVvJfMjLAmec39IyEx_6qawtMGysU/edit?usp=sharing"",""สบก!X74"")"),0)</f>
        <v>0</v>
      </c>
      <c r="M61" s="49"/>
      <c r="N61" s="49">
        <f ca="1">IFERROR(__xludf.DUMMYFUNCTION("IMPORTRANGE(""https://docs.google.com/spreadsheets/d/1Yj_ptqi66GCucihVvJfMjLAmec39IyEx_6qawtMGysU/edit?usp=sharing"",""สบก!AB74"")"),0)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IFERROR(__xludf.DUMMYFUNCTION("IMPORTRANGE(""https://docs.google.com/spreadsheets/d/1SX6NBoVAgQJ6U1MVXOaj8PK2l7WJ3RER9xtqwdhxkhw/edit?usp=sharing"",""ลพบุรี!I9"")"),2)</f>
        <v>2</v>
      </c>
      <c r="J64" s="142">
        <f ca="1">IFERROR(__xludf.DUMMYFUNCTION("IMPORTRANGE(""https://docs.google.com/spreadsheets/d/1SX6NBoVAgQJ6U1MVXOaj8PK2l7WJ3RER9xtqwdhxkhw/edit?usp=sharing"",""ลพบุรี!J9"")"),2)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IFERROR(__xludf.DUMMYFUNCTION("IMPORTRANGE(""https://docs.google.com/spreadsheets/d/1SX6NBoVAgQJ6U1MVXOaj8PK2l7WJ3RER9xtqwdhxkhw/edit?usp=sharing"",""ลพบุรี!I10"")"),180)</f>
        <v>180</v>
      </c>
      <c r="J65" s="142">
        <f ca="1">IFERROR(__xludf.DUMMYFUNCTION("IMPORTRANGE(""https://docs.google.com/spreadsheets/d/1SX6NBoVAgQJ6U1MVXOaj8PK2l7WJ3RER9xtqwdhxkhw/edit?usp=sharing"",""ลพบุรี!J10"")"),180)</f>
        <v>180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6017200</v>
      </c>
      <c r="M66" s="152">
        <f t="shared" ca="1" si="45"/>
        <v>6029700</v>
      </c>
      <c r="N66" s="152">
        <f t="shared" ca="1" si="45"/>
        <v>5800857.1699999999</v>
      </c>
      <c r="O66" s="151">
        <f t="shared" ref="O66:O68" ca="1" si="46">IF(L66&gt;0,N66*100/L66,0)</f>
        <v>96.40459300006647</v>
      </c>
      <c r="P66" s="151">
        <f t="shared" ref="P66:P68" ca="1" si="47">IF(M66&gt;0,N66*100/M66,0)</f>
        <v>96.204739373434833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6017200</v>
      </c>
      <c r="M68" s="157">
        <f t="shared" ca="1" si="49"/>
        <v>6029700</v>
      </c>
      <c r="N68" s="157">
        <f t="shared" ca="1" si="49"/>
        <v>5800857.1699999999</v>
      </c>
      <c r="O68" s="156">
        <f t="shared" ca="1" si="46"/>
        <v>96.40459300006647</v>
      </c>
      <c r="P68" s="156">
        <f t="shared" ca="1" si="47"/>
        <v>96.204739373434833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1817200</v>
      </c>
      <c r="M70" s="168">
        <f ca="1">IFERROR(__xludf.DUMMYFUNCTION("IMPORTRANGE(""https://docs.google.com/spreadsheets/d/1Yj_ptqi66GCucihVvJfMjLAmec39IyEx_6qawtMGysU/edit?usp=sharing"",""สบก!AI74"")"),1829700)</f>
        <v>1829700</v>
      </c>
      <c r="N70" s="169">
        <f ca="1">IFERROR(__xludf.DUMMYFUNCTION("IMPORTRANGE(""https://docs.google.com/spreadsheets/d/1Yj_ptqi66GCucihVvJfMjLAmec39IyEx_6qawtMGysU/edit?usp=sharing"",""สบก!AJ74"")"),1600857.17)</f>
        <v>1600857.17</v>
      </c>
      <c r="O70" s="169">
        <f ca="1">IF(L70&gt;0,N70*100/L70,0)</f>
        <v>88.094715496368039</v>
      </c>
      <c r="P70" s="169">
        <f ca="1">IF(M70&gt;0,N70*100/M70,0)</f>
        <v>87.492876974367377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IFERROR(__xludf.DUMMYFUNCTION("IMPORTRANGE(""https://docs.google.com/spreadsheets/d/1Yj_ptqi66GCucihVvJfMjLAmec39IyEx_6qawtMGysU/edit?usp=sharing"",""สบก!AE74"")"),439200)</f>
        <v>439200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IFERROR(__xludf.DUMMYFUNCTION("IMPORTRANGE(""https://docs.google.com/spreadsheets/d/1Yj_ptqi66GCucihVvJfMjLAmec39IyEx_6qawtMGysU/edit?usp=sharing"",""สบก!AF74"")"),1378000)</f>
        <v>1378000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IFERROR(__xludf.DUMMYFUNCTION("IMPORTRANGE(""https://docs.google.com/spreadsheets/d/1Yj_ptqi66GCucihVvJfMjLAmec39IyEx_6qawtMGysU/edit?usp=sharing"",""สบก!AG74"")"),4200000)</f>
        <v>4200000</v>
      </c>
      <c r="M74" s="49">
        <f ca="1">L74</f>
        <v>4200000</v>
      </c>
      <c r="N74" s="49">
        <f ca="1">IFERROR(__xludf.DUMMYFUNCTION("IMPORTRANGE(""https://docs.google.com/spreadsheets/d/1Yj_ptqi66GCucihVvJfMjLAmec39IyEx_6qawtMGysU/edit?usp=sharing"",""สบก!AK74"")"),4200000)</f>
        <v>4200000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IFERROR(__xludf.DUMMYFUNCTION("IMPORTRANGE(""https://docs.google.com/spreadsheets/d/1SX6NBoVAgQJ6U1MVXOaj8PK2l7WJ3RER9xtqwdhxkhw/edit?usp=sharing"",""ลพบุรี!J16"")"),0)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IFERROR(__xludf.DUMMYFUNCTION("IMPORTRANGE(""https://docs.google.com/spreadsheets/d/1SX6NBoVAgQJ6U1MVXOaj8PK2l7WJ3RER9xtqwdhxkhw/edit?usp=sharing"",""ลพบุรี!J17"")"),1)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IFERROR(__xludf.DUMMYFUNCTION("IMPORTRANGE(""https://docs.google.com/spreadsheets/d/1SX6NBoVAgQJ6U1MVXOaj8PK2l7WJ3RER9xtqwdhxkhw/edit?usp=sharing"",""ลพบุรี!J18"")"),1)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IFERROR(__xludf.DUMMYFUNCTION("IMPORTRANGE(""https://docs.google.com/spreadsheets/d/1SX6NBoVAgQJ6U1MVXOaj8PK2l7WJ3RER9xtqwdhxkhw/edit?usp=sharing"",""ลพบุรี!J19"")"),1)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IFERROR(__xludf.DUMMYFUNCTION("IMPORTRANGE(""https://docs.google.com/spreadsheets/d/1SX6NBoVAgQJ6U1MVXOaj8PK2l7WJ3RER9xtqwdhxkhw/edit?usp=sharing"",""ลพบุรี!I20"")"),2)</f>
        <v>2</v>
      </c>
      <c r="J80" s="201">
        <f ca="1">IFERROR(__xludf.DUMMYFUNCTION("IMPORTRANGE(""https://docs.google.com/spreadsheets/d/1SX6NBoVAgQJ6U1MVXOaj8PK2l7WJ3RER9xtqwdhxkhw/edit?usp=sharing"",""ลพบุรี!J20"")"),2)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IFERROR(__xludf.DUMMYFUNCTION("IMPORTRANGE(""https://docs.google.com/spreadsheets/d/1SX6NBoVAgQJ6U1MVXOaj8PK2l7WJ3RER9xtqwdhxkhw/edit?usp=sharing"",""ลพบุรี!I21"")"),180)</f>
        <v>180</v>
      </c>
      <c r="J81" s="201">
        <f ca="1">IFERROR(__xludf.DUMMYFUNCTION("IMPORTRANGE(""https://docs.google.com/spreadsheets/d/1SX6NBoVAgQJ6U1MVXOaj8PK2l7WJ3RER9xtqwdhxkhw/edit?usp=sharing"",""ลพบุรี!J21"")"),180)</f>
        <v>180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IFERROR(__xludf.DUMMYFUNCTION("IMPORTRANGE(""https://docs.google.com/spreadsheets/d/1SX6NBoVAgQJ6U1MVXOaj8PK2l7WJ3RER9xtqwdhxkhw/edit?usp=sharing"",""ลพบุรี!I22"")"),1)</f>
        <v>1</v>
      </c>
      <c r="J82" s="204">
        <f ca="1">IFERROR(__xludf.DUMMYFUNCTION("IMPORTRANGE(""https://docs.google.com/spreadsheets/d/1SX6NBoVAgQJ6U1MVXOaj8PK2l7WJ3RER9xtqwdhxkhw/edit?usp=sharing"",""ลพบุรี!J22"")"),1)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IFERROR(__xludf.DUMMYFUNCTION("IMPORTRANGE(""https://docs.google.com/spreadsheets/d/1SX6NBoVAgQJ6U1MVXOaj8PK2l7WJ3RER9xtqwdhxkhw/edit?usp=sharing"",""ลพบุรี!I23"")"),80)</f>
        <v>80</v>
      </c>
      <c r="J83" s="204">
        <f ca="1">IFERROR(__xludf.DUMMYFUNCTION("IMPORTRANGE(""https://docs.google.com/spreadsheets/d/1SX6NBoVAgQJ6U1MVXOaj8PK2l7WJ3RER9xtqwdhxkhw/edit?usp=sharing"",""ลพบุรี!J23"")"),80)</f>
        <v>80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IFERROR(__xludf.DUMMYFUNCTION("IMPORTRANGE(""https://docs.google.com/spreadsheets/d/1SX6NBoVAgQJ6U1MVXOaj8PK2l7WJ3RER9xtqwdhxkhw/edit?usp=sharing"",""ลพบุรี!I24"")"),1)</f>
        <v>1</v>
      </c>
      <c r="J84" s="189">
        <f ca="1">IFERROR(__xludf.DUMMYFUNCTION("IMPORTRANGE(""https://docs.google.com/spreadsheets/d/1SX6NBoVAgQJ6U1MVXOaj8PK2l7WJ3RER9xtqwdhxkhw/edit?usp=sharing"",""ลพบุรี!J24"")"),1)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IFERROR(__xludf.DUMMYFUNCTION("IMPORTRANGE(""https://docs.google.com/spreadsheets/d/1SX6NBoVAgQJ6U1MVXOaj8PK2l7WJ3RER9xtqwdhxkhw/edit?usp=sharing"",""ลพบุรี!I25"")"),100)</f>
        <v>100</v>
      </c>
      <c r="J85" s="189">
        <f ca="1">IFERROR(__xludf.DUMMYFUNCTION("IMPORTRANGE(""https://docs.google.com/spreadsheets/d/1SX6NBoVAgQJ6U1MVXOaj8PK2l7WJ3RER9xtqwdhxkhw/edit?usp=sharing"",""ลพบุรี!J25"")"),100)</f>
        <v>100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IFERROR(__xludf.DUMMYFUNCTION("IMPORTRANGE(""https://docs.google.com/spreadsheets/d/1SX6NBoVAgQJ6U1MVXOaj8PK2l7WJ3RER9xtqwdhxkhw/edit?usp=sharing"",""ลพบุรี!I26"")"),0)</f>
        <v>0</v>
      </c>
      <c r="J86" s="204">
        <f ca="1">IFERROR(__xludf.DUMMYFUNCTION("IMPORTRANGE(""https://docs.google.com/spreadsheets/d/1SX6NBoVAgQJ6U1MVXOaj8PK2l7WJ3RER9xtqwdhxkhw/edit?usp=sharing"",""ลพบุรี!J26"")"),0)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IFERROR(__xludf.DUMMYFUNCTION("IMPORTRANGE(""https://docs.google.com/spreadsheets/d/1SX6NBoVAgQJ6U1MVXOaj8PK2l7WJ3RER9xtqwdhxkhw/edit?usp=sharing"",""ลพบุรี!I27"")"),0)</f>
        <v>0</v>
      </c>
      <c r="J87" s="204">
        <f ca="1">IFERROR(__xludf.DUMMYFUNCTION("IMPORTRANGE(""https://docs.google.com/spreadsheets/d/1SX6NBoVAgQJ6U1MVXOaj8PK2l7WJ3RER9xtqwdhxkhw/edit?usp=sharing"",""ลพบุรี!J27"")"),0)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IFERROR(__xludf.DUMMYFUNCTION("IMPORTRANGE(""https://docs.google.com/spreadsheets/d/1SX6NBoVAgQJ6U1MVXOaj8PK2l7WJ3RER9xtqwdhxkhw/edit?usp=sharing"",""ลพบุรี!I28"")"),2)</f>
        <v>2</v>
      </c>
      <c r="J88" s="204">
        <f ca="1">IFERROR(__xludf.DUMMYFUNCTION("IMPORTRANGE(""https://docs.google.com/spreadsheets/d/1SX6NBoVAgQJ6U1MVXOaj8PK2l7WJ3RER9xtqwdhxkhw/edit?usp=sharing"",""ลพบุรี!J28"")"),2)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IFERROR(__xludf.DUMMYFUNCTION("IMPORTRANGE(""https://docs.google.com/spreadsheets/d/1SX6NBoVAgQJ6U1MVXOaj8PK2l7WJ3RER9xtqwdhxkhw/edit?usp=sharing"",""ลพบุรี!J29"")"),1)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IFERROR(__xludf.DUMMYFUNCTION("IMPORTRANGE(""https://docs.google.com/spreadsheets/d/1SX6NBoVAgQJ6U1MVXOaj8PK2l7WJ3RER9xtqwdhxkhw/edit?usp=sharing"",""ลพบุรี!J30"")"),0)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IFERROR(__xludf.DUMMYFUNCTION("IMPORTRANGE(""https://docs.google.com/spreadsheets/d/1SX6NBoVAgQJ6U1MVXOaj8PK2l7WJ3RER9xtqwdhxkhw/edit?usp=sharing"",""ลพบุรี!I32"")"),0)</f>
        <v>0</v>
      </c>
      <c r="J92" s="142">
        <f ca="1">IFERROR(__xludf.DUMMYFUNCTION("IMPORTRANGE(""https://docs.google.com/spreadsheets/d/1SX6NBoVAgQJ6U1MVXOaj8PK2l7WJ3RER9xtqwdhxkhw/edit?usp=sharing"",""ลพบุรี!J32"")"),0)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IFERROR(__xludf.DUMMYFUNCTION("IMPORTRANGE(""https://docs.google.com/spreadsheets/d/1SX6NBoVAgQJ6U1MVXOaj8PK2l7WJ3RER9xtqwdhxkhw/edit?usp=sharing"",""ลพบุรี!I33"")"),0)</f>
        <v>0</v>
      </c>
      <c r="J93" s="142">
        <f ca="1">IFERROR(__xludf.DUMMYFUNCTION("IMPORTRANGE(""https://docs.google.com/spreadsheets/d/1SX6NBoVAgQJ6U1MVXOaj8PK2l7WJ3RER9xtqwdhxkhw/edit?usp=sharing"",""ลพบุรี!J33"")"),0)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IFERROR(__xludf.DUMMYFUNCTION("IMPORTRANGE(""https://docs.google.com/spreadsheets/d/1Yj_ptqi66GCucihVvJfMjLAmec39IyEx_6qawtMGysU/edit?usp=sharing"",""สบก!AR74"")"),0)</f>
        <v>0</v>
      </c>
      <c r="N98" s="169">
        <f ca="1">IFERROR(__xludf.DUMMYFUNCTION("IMPORTRANGE(""https://docs.google.com/spreadsheets/d/1Yj_ptqi66GCucihVvJfMjLAmec39IyEx_6qawtMGysU/edit?usp=sharing"",""สบก!AS74"")"),0)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IFERROR(__xludf.DUMMYFUNCTION("IMPORTRANGE(""https://docs.google.com/spreadsheets/d/1Yj_ptqi66GCucihVvJfMjLAmec39IyEx_6qawtMGysU/edit?usp=sharing"",""สบก!AP74"")"),0)</f>
        <v>0</v>
      </c>
      <c r="M102" s="49"/>
      <c r="N102" s="49">
        <f ca="1">IFERROR(__xludf.DUMMYFUNCTION("IMPORTRANGE(""https://docs.google.com/spreadsheets/d/1Yj_ptqi66GCucihVvJfMjLAmec39IyEx_6qawtMGysU/edit?usp=sharing"",""สบก!AT74"")"),0)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IFERROR(__xludf.DUMMYFUNCTION("IMPORTRANGE(""https://docs.google.com/spreadsheets/d/1SX6NBoVAgQJ6U1MVXOaj8PK2l7WJ3RER9xtqwdhxkhw/edit?usp=sharing"",""ลพบุรี!J39"")"),0)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IFERROR(__xludf.DUMMYFUNCTION("IMPORTRANGE(""https://docs.google.com/spreadsheets/d/1SX6NBoVAgQJ6U1MVXOaj8PK2l7WJ3RER9xtqwdhxkhw/edit?usp=sharing"",""ลพบุรี!J40"")"),0)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IFERROR(__xludf.DUMMYFUNCTION("IMPORTRANGE(""https://docs.google.com/spreadsheets/d/1SX6NBoVAgQJ6U1MVXOaj8PK2l7WJ3RER9xtqwdhxkhw/edit?usp=sharing"",""ลพบุรี!J41"")"),0)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IFERROR(__xludf.DUMMYFUNCTION("IMPORTRANGE(""https://docs.google.com/spreadsheets/d/1SX6NBoVAgQJ6U1MVXOaj8PK2l7WJ3RER9xtqwdhxkhw/edit?usp=sharing"",""ลพบุรี!J42"")"),0)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IFERROR(__xludf.DUMMYFUNCTION("IMPORTRANGE(""https://docs.google.com/spreadsheets/d/1SX6NBoVAgQJ6U1MVXOaj8PK2l7WJ3RER9xtqwdhxkhw/edit?usp=sharing"",""ลพบุรี!I43"")"),0)</f>
        <v>0</v>
      </c>
      <c r="J108" s="204">
        <f ca="1">IFERROR(__xludf.DUMMYFUNCTION("IMPORTRANGE(""https://docs.google.com/spreadsheets/d/1SX6NBoVAgQJ6U1MVXOaj8PK2l7WJ3RER9xtqwdhxkhw/edit?usp=sharing"",""ลพบุรี!J43"")"),0)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IFERROR(__xludf.DUMMYFUNCTION("IMPORTRANGE(""https://docs.google.com/spreadsheets/d/1SX6NBoVAgQJ6U1MVXOaj8PK2l7WJ3RER9xtqwdhxkhw/edit?usp=sharing"",""ลพบุรี!I44"")"),0)</f>
        <v>0</v>
      </c>
      <c r="J109" s="204">
        <f ca="1">IFERROR(__xludf.DUMMYFUNCTION("IMPORTRANGE(""https://docs.google.com/spreadsheets/d/1SX6NBoVAgQJ6U1MVXOaj8PK2l7WJ3RER9xtqwdhxkhw/edit?usp=sharing"",""ลพบุรี!J44"")"),0)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IFERROR(__xludf.DUMMYFUNCTION("IMPORTRANGE(""https://docs.google.com/spreadsheets/d/1SX6NBoVAgQJ6U1MVXOaj8PK2l7WJ3RER9xtqwdhxkhw/edit?usp=sharing"",""ลพบุรี!I45"")"),0)</f>
        <v>0</v>
      </c>
      <c r="J110" s="204">
        <f ca="1">IFERROR(__xludf.DUMMYFUNCTION("IMPORTRANGE(""https://docs.google.com/spreadsheets/d/1SX6NBoVAgQJ6U1MVXOaj8PK2l7WJ3RER9xtqwdhxkhw/edit?usp=sharing"",""ลพบุรี!J45"")"),0)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IFERROR(__xludf.DUMMYFUNCTION("IMPORTRANGE(""https://docs.google.com/spreadsheets/d/1SX6NBoVAgQJ6U1MVXOaj8PK2l7WJ3RER9xtqwdhxkhw/edit?usp=sharing"",""ลพบุรี!I46"")"),0)</f>
        <v>0</v>
      </c>
      <c r="J111" s="204">
        <f ca="1">IFERROR(__xludf.DUMMYFUNCTION("IMPORTRANGE(""https://docs.google.com/spreadsheets/d/1SX6NBoVAgQJ6U1MVXOaj8PK2l7WJ3RER9xtqwdhxkhw/edit?usp=sharing"",""ลพบุรี!J46"")"),0)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IFERROR(__xludf.DUMMYFUNCTION("IMPORTRANGE(""https://docs.google.com/spreadsheets/d/1SX6NBoVAgQJ6U1MVXOaj8PK2l7WJ3RER9xtqwdhxkhw/edit?usp=sharing"",""ลพบุรี!I47"")"),0)</f>
        <v>0</v>
      </c>
      <c r="J112" s="204">
        <f ca="1">IFERROR(__xludf.DUMMYFUNCTION("IMPORTRANGE(""https://docs.google.com/spreadsheets/d/1SX6NBoVAgQJ6U1MVXOaj8PK2l7WJ3RER9xtqwdhxkhw/edit?usp=sharing"",""ลพบุรี!J47"")"),0)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IFERROR(__xludf.DUMMYFUNCTION("IMPORTRANGE(""https://docs.google.com/spreadsheets/d/1SX6NBoVAgQJ6U1MVXOaj8PK2l7WJ3RER9xtqwdhxkhw/edit?usp=sharing"",""ลพบุรี!I48"")"),0)</f>
        <v>0</v>
      </c>
      <c r="J113" s="204">
        <f ca="1">IFERROR(__xludf.DUMMYFUNCTION("IMPORTRANGE(""https://docs.google.com/spreadsheets/d/1SX6NBoVAgQJ6U1MVXOaj8PK2l7WJ3RER9xtqwdhxkhw/edit?usp=sharing"",""ลพบุรี!J48"")"),0)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IFERROR(__xludf.DUMMYFUNCTION("IMPORTRANGE(""https://docs.google.com/spreadsheets/d/1SX6NBoVAgQJ6U1MVXOaj8PK2l7WJ3RER9xtqwdhxkhw/edit?usp=sharing"",""ลพบุรี!J49"")"),0)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IFERROR(__xludf.DUMMYFUNCTION("IMPORTRANGE(""https://docs.google.com/spreadsheets/d/1SX6NBoVAgQJ6U1MVXOaj8PK2l7WJ3RER9xtqwdhxkhw/edit?usp=sharing"",""ลพบุรี!J50"")"),0)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IFERROR(__xludf.DUMMYFUNCTION("IMPORTRANGE(""https://docs.google.com/spreadsheets/d/1SX6NBoVAgQJ6U1MVXOaj8PK2l7WJ3RER9xtqwdhxkhw/edit?usp=sharing"",""ลพบุรี!I52"")"),15)</f>
        <v>15</v>
      </c>
      <c r="J117" s="142">
        <f ca="1">IFERROR(__xludf.DUMMYFUNCTION("IMPORTRANGE(""https://docs.google.com/spreadsheets/d/1SX6NBoVAgQJ6U1MVXOaj8PK2l7WJ3RER9xtqwdhxkhw/edit?usp=sharing"",""ลพบุรี!J52"")"),15)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66294</v>
      </c>
      <c r="M118" s="152">
        <f t="shared" ca="1" si="58"/>
        <v>66294</v>
      </c>
      <c r="N118" s="152">
        <f t="shared" ca="1" si="58"/>
        <v>54366</v>
      </c>
      <c r="O118" s="151">
        <f t="shared" ref="O118:O120" ca="1" si="59">IF(L118&gt;0,N118*100/L118,0)</f>
        <v>82.007421486107333</v>
      </c>
      <c r="P118" s="151">
        <f t="shared" ref="P118:P120" ca="1" si="60">IF(M118&gt;0,N118*100/M118,0)</f>
        <v>82.007421486107333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66294</v>
      </c>
      <c r="M120" s="157">
        <f t="shared" ca="1" si="62"/>
        <v>66294</v>
      </c>
      <c r="N120" s="157">
        <f t="shared" ca="1" si="62"/>
        <v>54366</v>
      </c>
      <c r="O120" s="156">
        <f t="shared" ca="1" si="59"/>
        <v>82.007421486107333</v>
      </c>
      <c r="P120" s="156">
        <f t="shared" ca="1" si="60"/>
        <v>82.007421486107333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66294</v>
      </c>
      <c r="M122" s="168">
        <f ca="1">IFERROR(__xludf.DUMMYFUNCTION("IMPORTRANGE(""https://docs.google.com/spreadsheets/d/1Yj_ptqi66GCucihVvJfMjLAmec39IyEx_6qawtMGysU/edit?usp=sharing"",""สบก!BA74"")"),66294)</f>
        <v>66294</v>
      </c>
      <c r="N122" s="169">
        <f ca="1">IFERROR(__xludf.DUMMYFUNCTION("IMPORTRANGE(""https://docs.google.com/spreadsheets/d/1Yj_ptqi66GCucihVvJfMjLAmec39IyEx_6qawtMGysU/edit?usp=sharing"",""สบก!BB74"")"),54366)</f>
        <v>54366</v>
      </c>
      <c r="O122" s="169">
        <f ca="1">IF(L122&gt;0,N122*100/L122,0)</f>
        <v>82.007421486107333</v>
      </c>
      <c r="P122" s="169">
        <f ca="1">IF(M122&gt;0,N122*100/M122,0)</f>
        <v>82.007421486107333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IFERROR(__xludf.DUMMYFUNCTION("IMPORTRANGE(""https://docs.google.com/spreadsheets/d/1Yj_ptqi66GCucihVvJfMjLAmec39IyEx_6qawtMGysU/edit?usp=sharing"",""สบก!AX74"")"),66294)</f>
        <v>66294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IFERROR(__xludf.DUMMYFUNCTION("IMPORTRANGE(""https://docs.google.com/spreadsheets/d/1Yj_ptqi66GCucihVvJfMjLAmec39IyEx_6qawtMGysU/edit?usp=sharing"",""สบก!AY74"")"),0)</f>
        <v>0</v>
      </c>
      <c r="M126" s="49"/>
      <c r="N126" s="49">
        <f ca="1">IFERROR(__xludf.DUMMYFUNCTION("IMPORTRANGE(""https://docs.google.com/spreadsheets/d/1Yj_ptqi66GCucihVvJfMjLAmec39IyEx_6qawtMGysU/edit?usp=sharing"",""สบก!BC74"")"),0)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IFERROR(__xludf.DUMMYFUNCTION("IMPORTRANGE(""https://docs.google.com/spreadsheets/d/1SX6NBoVAgQJ6U1MVXOaj8PK2l7WJ3RER9xtqwdhxkhw/edit?usp=sharing"",""ลพบุรี!J58"")"),0)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IFERROR(__xludf.DUMMYFUNCTION("IMPORTRANGE(""https://docs.google.com/spreadsheets/d/1SX6NBoVAgQJ6U1MVXOaj8PK2l7WJ3RER9xtqwdhxkhw/edit?usp=sharing"",""ลพบุรี!J59"")"),1)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IFERROR(__xludf.DUMMYFUNCTION("IMPORTRANGE(""https://docs.google.com/spreadsheets/d/1SX6NBoVAgQJ6U1MVXOaj8PK2l7WJ3RER9xtqwdhxkhw/edit?usp=sharing"",""ลพบุรี!J60"")"),1)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IFERROR(__xludf.DUMMYFUNCTION("IMPORTRANGE(""https://docs.google.com/spreadsheets/d/1SX6NBoVAgQJ6U1MVXOaj8PK2l7WJ3RER9xtqwdhxkhw/edit?usp=sharing"",""ลพบุรี!J61"")"),0)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IFERROR(__xludf.DUMMYFUNCTION("IMPORTRANGE(""https://docs.google.com/spreadsheets/d/1SX6NBoVAgQJ6U1MVXOaj8PK2l7WJ3RER9xtqwdhxkhw/edit?usp=sharing"",""ลพบุรี!I62"")"),15)</f>
        <v>15</v>
      </c>
      <c r="J132" s="204">
        <f ca="1">IFERROR(__xludf.DUMMYFUNCTION("IMPORTRANGE(""https://docs.google.com/spreadsheets/d/1SX6NBoVAgQJ6U1MVXOaj8PK2l7WJ3RER9xtqwdhxkhw/edit?usp=sharing"",""ลพบุรี!J62"")"),15)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IFERROR(__xludf.DUMMYFUNCTION("IMPORTRANGE(""https://docs.google.com/spreadsheets/d/1SX6NBoVAgQJ6U1MVXOaj8PK2l7WJ3RER9xtqwdhxkhw/edit?usp=sharing"",""ลพบุรี!I63"")"),15)</f>
        <v>15</v>
      </c>
      <c r="J133" s="204">
        <f ca="1">IFERROR(__xludf.DUMMYFUNCTION("IMPORTRANGE(""https://docs.google.com/spreadsheets/d/1SX6NBoVAgQJ6U1MVXOaj8PK2l7WJ3RER9xtqwdhxkhw/edit?usp=sharing"",""ลพบุรี!J63"")"),15)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IFERROR(__xludf.DUMMYFUNCTION("IMPORTRANGE(""https://docs.google.com/spreadsheets/d/1SX6NBoVAgQJ6U1MVXOaj8PK2l7WJ3RER9xtqwdhxkhw/edit?usp=sharing"",""ลพบุรี!J64"")"),1)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IFERROR(__xludf.DUMMYFUNCTION("IMPORTRANGE(""https://docs.google.com/spreadsheets/d/1SX6NBoVAgQJ6U1MVXOaj8PK2l7WJ3RER9xtqwdhxkhw/edit?usp=sharing"",""ลพบุรี!J65"")"),1)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IFERROR(__xludf.DUMMYFUNCTION("IMPORTRANGE(""https://docs.google.com/spreadsheets/d/1SX6NBoVAgQJ6U1MVXOaj8PK2l7WJ3RER9xtqwdhxkhw/edit?usp=sharing"",""ลพบุรี!I68"")"),0)</f>
        <v>0</v>
      </c>
      <c r="J138" s="268">
        <f ca="1">IFERROR(__xludf.DUMMYFUNCTION("IMPORTRANGE(""https://docs.google.com/spreadsheets/d/1SX6NBoVAgQJ6U1MVXOaj8PK2l7WJ3RER9xtqwdhxkhw/edit?usp=sharing"",""ลพบุรี!J68"")"),0)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97500</v>
      </c>
      <c r="M140" s="152">
        <f t="shared" ca="1" si="64"/>
        <v>105500</v>
      </c>
      <c r="N140" s="152">
        <f t="shared" ca="1" si="64"/>
        <v>66884</v>
      </c>
      <c r="O140" s="151">
        <f t="shared" ref="O140:O142" ca="1" si="65">IF(L140&gt;0,N140*100/L140,0)</f>
        <v>68.59897435897436</v>
      </c>
      <c r="P140" s="151">
        <f t="shared" ref="P140:P142" ca="1" si="66">IF(M140&gt;0,N140*100/M140,0)</f>
        <v>63.397156398104265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97500</v>
      </c>
      <c r="M142" s="157">
        <f t="shared" ca="1" si="68"/>
        <v>105500</v>
      </c>
      <c r="N142" s="157">
        <f t="shared" ca="1" si="68"/>
        <v>66884</v>
      </c>
      <c r="O142" s="156">
        <f t="shared" ca="1" si="65"/>
        <v>68.59897435897436</v>
      </c>
      <c r="P142" s="156">
        <f t="shared" ca="1" si="66"/>
        <v>63.397156398104265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97500</v>
      </c>
      <c r="M144" s="168">
        <f ca="1">IFERROR(__xludf.DUMMYFUNCTION("IMPORTRANGE(""https://docs.google.com/spreadsheets/d/1Yj_ptqi66GCucihVvJfMjLAmec39IyEx_6qawtMGysU/edit?usp=sharing"",""สบก!BJ74"")"),105500)</f>
        <v>105500</v>
      </c>
      <c r="N144" s="169">
        <f ca="1">IFERROR(__xludf.DUMMYFUNCTION("IMPORTRANGE(""https://docs.google.com/spreadsheets/d/1Yj_ptqi66GCucihVvJfMjLAmec39IyEx_6qawtMGysU/edit?usp=sharing"",""สบก!BK74"")"),66884)</f>
        <v>66884</v>
      </c>
      <c r="O144" s="169">
        <f ca="1">IF(L144&gt;0,N144*100/L144,0)</f>
        <v>68.59897435897436</v>
      </c>
      <c r="P144" s="169">
        <f ca="1">IF(M144&gt;0,N144*100/M144,0)</f>
        <v>63.397156398104265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IFERROR(__xludf.DUMMYFUNCTION("IMPORTRANGE(""https://docs.google.com/spreadsheets/d/1Yj_ptqi66GCucihVvJfMjLAmec39IyEx_6qawtMGysU/edit?usp=sharing"",""สบก!BG74"")"),97500)</f>
        <v>97500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IFERROR(__xludf.DUMMYFUNCTION("IMPORTRANGE(""https://docs.google.com/spreadsheets/d/1Yj_ptqi66GCucihVvJfMjLAmec39IyEx_6qawtMGysU/edit?usp=sharing"",""สบก!BH74"")"),0)</f>
        <v>0</v>
      </c>
      <c r="M148" s="49"/>
      <c r="N148" s="49">
        <f ca="1">IFERROR(__xludf.DUMMYFUNCTION("IMPORTRANGE(""https://docs.google.com/spreadsheets/d/1Yj_ptqi66GCucihVvJfMjLAmec39IyEx_6qawtMGysU/edit?usp=sharing"",""สบก!BL74"")"),0)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IFERROR(__xludf.DUMMYFUNCTION("IMPORTRANGE(""https://docs.google.com/spreadsheets/d/1SX6NBoVAgQJ6U1MVXOaj8PK2l7WJ3RER9xtqwdhxkhw/edit?usp=sharing"",""ลพบุรี!I74"")"),4)</f>
        <v>4</v>
      </c>
      <c r="J149" s="276">
        <f ca="1">IFERROR(__xludf.DUMMYFUNCTION("IMPORTRANGE(""https://docs.google.com/spreadsheets/d/1SX6NBoVAgQJ6U1MVXOaj8PK2l7WJ3RER9xtqwdhxkhw/edit?usp=sharing"",""ลพบุรี!J74"")"),2)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IFERROR(__xludf.DUMMYFUNCTION("IMPORTRANGE(""https://docs.google.com/spreadsheets/d/1SX6NBoVAgQJ6U1MVXOaj8PK2l7WJ3RER9xtqwdhxkhw/edit?usp=sharing"",""ลพบุรี!J79"")"),0)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IFERROR(__xludf.DUMMYFUNCTION("IMPORTRANGE(""https://docs.google.com/spreadsheets/d/1SX6NBoVAgQJ6U1MVXOaj8PK2l7WJ3RER9xtqwdhxkhw/edit?usp=sharing"",""ลพบุรี!J80"")"),1)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IFERROR(__xludf.DUMMYFUNCTION("IMPORTRANGE(""https://docs.google.com/spreadsheets/d/1SX6NBoVAgQJ6U1MVXOaj8PK2l7WJ3RER9xtqwdhxkhw/edit?usp=sharing"",""ลพบุรี!J81"")"),1)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IFERROR(__xludf.DUMMYFUNCTION("IMPORTRANGE(""https://docs.google.com/spreadsheets/d/1SX6NBoVAgQJ6U1MVXOaj8PK2l7WJ3RER9xtqwdhxkhw/edit?usp=sharing"",""ลพบุรี!J82"")"),1)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IFERROR(__xludf.DUMMYFUNCTION("IMPORTRANGE(""https://docs.google.com/spreadsheets/d/1SX6NBoVAgQJ6U1MVXOaj8PK2l7WJ3RER9xtqwdhxkhw/edit?usp=sharing"",""ลพบุรี!I83"")"),4)</f>
        <v>4</v>
      </c>
      <c r="J158" s="189">
        <f ca="1">IFERROR(__xludf.DUMMYFUNCTION("IMPORTRANGE(""https://docs.google.com/spreadsheets/d/1SX6NBoVAgQJ6U1MVXOaj8PK2l7WJ3RER9xtqwdhxkhw/edit?usp=sharing"",""ลพบุรี!J83"")"),2)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IFERROR(__xludf.DUMMYFUNCTION("IMPORTRANGE(""https://docs.google.com/spreadsheets/d/1SX6NBoVAgQJ6U1MVXOaj8PK2l7WJ3RER9xtqwdhxkhw/edit?usp=sharing"",""ลพบุรี!J84"")"),32)</f>
        <v>32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IFERROR(__xludf.DUMMYFUNCTION("IMPORTRANGE(""https://docs.google.com/spreadsheets/d/1SX6NBoVAgQJ6U1MVXOaj8PK2l7WJ3RER9xtqwdhxkhw/edit?usp=sharing"",""ลพบุรี!J85"")"),32)</f>
        <v>32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IFERROR(__xludf.DUMMYFUNCTION("IMPORTRANGE(""https://docs.google.com/spreadsheets/d/1SX6NBoVAgQJ6U1MVXOaj8PK2l7WJ3RER9xtqwdhxkhw/edit?usp=sharing"",""ลพบุรี!J86"")"),0)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IFERROR(__xludf.DUMMYFUNCTION("IMPORTRANGE(""https://docs.google.com/spreadsheets/d/1SX6NBoVAgQJ6U1MVXOaj8PK2l7WJ3RER9xtqwdhxkhw/edit?usp=sharing"",""ลพบุรี!J87"")"),0)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IFERROR(__xludf.DUMMYFUNCTION("IMPORTRANGE(""https://docs.google.com/spreadsheets/d/1SX6NBoVAgQJ6U1MVXOaj8PK2l7WJ3RER9xtqwdhxkhw/edit?usp=sharing"",""ลพบุรี!J88"")"),0)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IFERROR(__xludf.DUMMYFUNCTION("IMPORTRANGE(""https://docs.google.com/spreadsheets/d/1SX6NBoVAgQJ6U1MVXOaj8PK2l7WJ3RER9xtqwdhxkhw/edit?usp=sharing"",""ลพบุรี!I89"")"),4)</f>
        <v>4</v>
      </c>
      <c r="J164" s="285">
        <f ca="1">IFERROR(__xludf.DUMMYFUNCTION("IMPORTRANGE(""https://docs.google.com/spreadsheets/d/1SX6NBoVAgQJ6U1MVXOaj8PK2l7WJ3RER9xtqwdhxkhw/edit?usp=sharing"",""ลพบุรี!J89"")"),4)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IFERROR(__xludf.DUMMYFUNCTION("IMPORTRANGE(""https://docs.google.com/spreadsheets/d/1SX6NBoVAgQJ6U1MVXOaj8PK2l7WJ3RER9xtqwdhxkhw/edit?usp=sharing"",""ลพบุรี!J94"")"),0)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IFERROR(__xludf.DUMMYFUNCTION("IMPORTRANGE(""https://docs.google.com/spreadsheets/d/1SX6NBoVAgQJ6U1MVXOaj8PK2l7WJ3RER9xtqwdhxkhw/edit?usp=sharing"",""ลพบุรี!J95"")"),0)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IFERROR(__xludf.DUMMYFUNCTION("IMPORTRANGE(""https://docs.google.com/spreadsheets/d/1SX6NBoVAgQJ6U1MVXOaj8PK2l7WJ3RER9xtqwdhxkhw/edit?usp=sharing"",""ลพบุรี!J96"")"),0)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IFERROR(__xludf.DUMMYFUNCTION("IMPORTRANGE(""https://docs.google.com/spreadsheets/d/1SX6NBoVAgQJ6U1MVXOaj8PK2l7WJ3RER9xtqwdhxkhw/edit?usp=sharing"",""ลพบุรี!J97"")"),0)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IFERROR(__xludf.DUMMYFUNCTION("IMPORTRANGE(""https://docs.google.com/spreadsheets/d/1SX6NBoVAgQJ6U1MVXOaj8PK2l7WJ3RER9xtqwdhxkhw/edit?usp=sharing"",""ลพบุรี!I98"")"),4)</f>
        <v>4</v>
      </c>
      <c r="J173" s="189">
        <f ca="1">IFERROR(__xludf.DUMMYFUNCTION("IMPORTRANGE(""https://docs.google.com/spreadsheets/d/1SX6NBoVAgQJ6U1MVXOaj8PK2l7WJ3RER9xtqwdhxkhw/edit?usp=sharing"",""ลพบุรี!J98"")"),4)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IFERROR(__xludf.DUMMYFUNCTION("IMPORTRANGE(""https://docs.google.com/spreadsheets/d/1SX6NBoVAgQJ6U1MVXOaj8PK2l7WJ3RER9xtqwdhxkhw/edit?usp=sharing"",""ลพบุรี!J99"")"),0)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IFERROR(__xludf.DUMMYFUNCTION("IMPORTRANGE(""https://docs.google.com/spreadsheets/d/1SX6NBoVAgQJ6U1MVXOaj8PK2l7WJ3RER9xtqwdhxkhw/edit?usp=sharing"",""ลพบุรี!J100"")"),1)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IFERROR(__xludf.DUMMYFUNCTION("IMPORTRANGE(""https://docs.google.com/spreadsheets/d/1SX6NBoVAgQJ6U1MVXOaj8PK2l7WJ3RER9xtqwdhxkhw/edit?usp=sharing"",""ลพบุรี!I101"")"),0)</f>
        <v>0</v>
      </c>
      <c r="J176" s="285">
        <f ca="1">IFERROR(__xludf.DUMMYFUNCTION("IMPORTRANGE(""https://docs.google.com/spreadsheets/d/1SX6NBoVAgQJ6U1MVXOaj8PK2l7WJ3RER9xtqwdhxkhw/edit?usp=sharing"",""ลพบุรี!J101"")"),0)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IFERROR(__xludf.DUMMYFUNCTION("IMPORTRANGE(""https://docs.google.com/spreadsheets/d/1SX6NBoVAgQJ6U1MVXOaj8PK2l7WJ3RER9xtqwdhxkhw/edit?usp=sharing"",""ลพบุรี!J106"")"),0)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IFERROR(__xludf.DUMMYFUNCTION("IMPORTRANGE(""https://docs.google.com/spreadsheets/d/1SX6NBoVAgQJ6U1MVXOaj8PK2l7WJ3RER9xtqwdhxkhw/edit?usp=sharing"",""ลพบุรี!J107"")"),0)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IFERROR(__xludf.DUMMYFUNCTION("IMPORTRANGE(""https://docs.google.com/spreadsheets/d/1SX6NBoVAgQJ6U1MVXOaj8PK2l7WJ3RER9xtqwdhxkhw/edit?usp=sharing"",""ลพบุรี!J108"")"),0)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IFERROR(__xludf.DUMMYFUNCTION("IMPORTRANGE(""https://docs.google.com/spreadsheets/d/1SX6NBoVAgQJ6U1MVXOaj8PK2l7WJ3RER9xtqwdhxkhw/edit?usp=sharing"",""ลพบุรี!J109"")"),0)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IFERROR(__xludf.DUMMYFUNCTION("IMPORTRANGE(""https://docs.google.com/spreadsheets/d/1SX6NBoVAgQJ6U1MVXOaj8PK2l7WJ3RER9xtqwdhxkhw/edit?usp=sharing"",""ลพบุรี!I110"")"),0)</f>
        <v>0</v>
      </c>
      <c r="J185" s="204">
        <f ca="1">IFERROR(__xludf.DUMMYFUNCTION("IMPORTRANGE(""https://docs.google.com/spreadsheets/d/1SX6NBoVAgQJ6U1MVXOaj8PK2l7WJ3RER9xtqwdhxkhw/edit?usp=sharing"",""ลพบุรี!J110"")"),0)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IFERROR(__xludf.DUMMYFUNCTION("IMPORTRANGE(""https://docs.google.com/spreadsheets/d/1SX6NBoVAgQJ6U1MVXOaj8PK2l7WJ3RER9xtqwdhxkhw/edit?usp=sharing"",""ลพบุรี!I111"")"),0)</f>
        <v>0</v>
      </c>
      <c r="J186" s="204">
        <f ca="1">IFERROR(__xludf.DUMMYFUNCTION("IMPORTRANGE(""https://docs.google.com/spreadsheets/d/1SX6NBoVAgQJ6U1MVXOaj8PK2l7WJ3RER9xtqwdhxkhw/edit?usp=sharing"",""ลพบุรี!J111"")"),0)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IFERROR(__xludf.DUMMYFUNCTION("IMPORTRANGE(""https://docs.google.com/spreadsheets/d/1SX6NBoVAgQJ6U1MVXOaj8PK2l7WJ3RER9xtqwdhxkhw/edit?usp=sharing"",""ลพบุรี!J112"")"),0)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IFERROR(__xludf.DUMMYFUNCTION("IMPORTRANGE(""https://docs.google.com/spreadsheets/d/1SX6NBoVAgQJ6U1MVXOaj8PK2l7WJ3RER9xtqwdhxkhw/edit?usp=sharing"",""ลพบุรี!J113"")"),0)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IFERROR(__xludf.DUMMYFUNCTION("IMPORTRANGE(""https://docs.google.com/spreadsheets/d/1SX6NBoVAgQJ6U1MVXOaj8PK2l7WJ3RER9xtqwdhxkhw/edit?usp=sharing"",""ลพบุรี!I114"")"),100000)</f>
        <v>100000</v>
      </c>
      <c r="J189" s="285">
        <f ca="1">IFERROR(__xludf.DUMMYFUNCTION("IMPORTRANGE(""https://docs.google.com/spreadsheets/d/1SX6NBoVAgQJ6U1MVXOaj8PK2l7WJ3RER9xtqwdhxkhw/edit?usp=sharing"",""ลพบุรี!J114"")"),0)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IFERROR(__xludf.DUMMYFUNCTION("IMPORTRANGE(""https://docs.google.com/spreadsheets/d/1SX6NBoVAgQJ6U1MVXOaj8PK2l7WJ3RER9xtqwdhxkhw/edit?usp=sharing"",""ลพบุรี!J119"")"),0)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IFERROR(__xludf.DUMMYFUNCTION("IMPORTRANGE(""https://docs.google.com/spreadsheets/d/1SX6NBoVAgQJ6U1MVXOaj8PK2l7WJ3RER9xtqwdhxkhw/edit?usp=sharing"",""ลพบุรี!J120"")"),1)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IFERROR(__xludf.DUMMYFUNCTION("IMPORTRANGE(""https://docs.google.com/spreadsheets/d/1SX6NBoVAgQJ6U1MVXOaj8PK2l7WJ3RER9xtqwdhxkhw/edit?usp=sharing"",""ลพบุรี!J121"")"),1)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IFERROR(__xludf.DUMMYFUNCTION("IMPORTRANGE(""https://docs.google.com/spreadsheets/d/1SX6NBoVAgQJ6U1MVXOaj8PK2l7WJ3RER9xtqwdhxkhw/edit?usp=sharing"",""ลพบุรี!J122"")"),1)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IFERROR(__xludf.DUMMYFUNCTION("IMPORTRANGE(""https://docs.google.com/spreadsheets/d/1SX6NBoVAgQJ6U1MVXOaj8PK2l7WJ3RER9xtqwdhxkhw/edit?usp=sharing"",""ลพบุรี!I124"")"),100000)</f>
        <v>100000</v>
      </c>
      <c r="J199" s="189">
        <f ca="1">IFERROR(__xludf.DUMMYFUNCTION("IMPORTRANGE(""https://docs.google.com/spreadsheets/d/1SX6NBoVAgQJ6U1MVXOaj8PK2l7WJ3RER9xtqwdhxkhw/edit?usp=sharing"",""ลพบุรี!J124"")"),1)</f>
        <v>1</v>
      </c>
      <c r="K199" s="163">
        <f t="shared" ref="K199:K201" ca="1" si="70">IF(I199&gt;0,J199*100/I199,0)</f>
        <v>1E-3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IFERROR(__xludf.DUMMYFUNCTION("IMPORTRANGE(""https://docs.google.com/spreadsheets/d/1SX6NBoVAgQJ6U1MVXOaj8PK2l7WJ3RER9xtqwdhxkhw/edit?usp=sharing"",""ลพบุรี!I125"")"),100000)</f>
        <v>100000</v>
      </c>
      <c r="J200" s="189">
        <f ca="1">IFERROR(__xludf.DUMMYFUNCTION("IMPORTRANGE(""https://docs.google.com/spreadsheets/d/1SX6NBoVAgQJ6U1MVXOaj8PK2l7WJ3RER9xtqwdhxkhw/edit?usp=sharing"",""ลพบุรี!J125"")"),0)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IFERROR(__xludf.DUMMYFUNCTION("IMPORTRANGE(""https://docs.google.com/spreadsheets/d/1SX6NBoVAgQJ6U1MVXOaj8PK2l7WJ3RER9xtqwdhxkhw/edit?usp=sharing"",""ลพบุรี!I126"")"),0)</f>
        <v>0</v>
      </c>
      <c r="J201" s="189">
        <f ca="1">IFERROR(__xludf.DUMMYFUNCTION("IMPORTRANGE(""https://docs.google.com/spreadsheets/d/1SX6NBoVAgQJ6U1MVXOaj8PK2l7WJ3RER9xtqwdhxkhw/edit?usp=sharing"",""ลพบุรี!J126"")"),0)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IFERROR(__xludf.DUMMYFUNCTION("IMPORTRANGE(""https://docs.google.com/spreadsheets/d/1SX6NBoVAgQJ6U1MVXOaj8PK2l7WJ3RER9xtqwdhxkhw/edit?usp=sharing"",""ลพบุรี!J127"")"),0)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IFERROR(__xludf.DUMMYFUNCTION("IMPORTRANGE(""https://docs.google.com/spreadsheets/d/1SX6NBoVAgQJ6U1MVXOaj8PK2l7WJ3RER9xtqwdhxkhw/edit?usp=sharing"",""ลพบุรี!J128"")"),0)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IFERROR(__xludf.DUMMYFUNCTION("IMPORTRANGE(""https://docs.google.com/spreadsheets/d/1SX6NBoVAgQJ6U1MVXOaj8PK2l7WJ3RER9xtqwdhxkhw/edit?usp=sharing"",""ลพบุรี!I129"")"),0)</f>
        <v>0</v>
      </c>
      <c r="J204" s="285">
        <f ca="1">IFERROR(__xludf.DUMMYFUNCTION("IMPORTRANGE(""https://docs.google.com/spreadsheets/d/1SX6NBoVAgQJ6U1MVXOaj8PK2l7WJ3RER9xtqwdhxkhw/edit?usp=sharing"",""ลพบุรี!J129"")"),0)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IFERROR(__xludf.DUMMYFUNCTION("IMPORTRANGE(""https://docs.google.com/spreadsheets/d/1SX6NBoVAgQJ6U1MVXOaj8PK2l7WJ3RER9xtqwdhxkhw/edit?usp=sharing"",""ลพบุรี!J134"")"),0)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IFERROR(__xludf.DUMMYFUNCTION("IMPORTRANGE(""https://docs.google.com/spreadsheets/d/1SX6NBoVAgQJ6U1MVXOaj8PK2l7WJ3RER9xtqwdhxkhw/edit?usp=sharing"",""ลพบุรี!J135"")"),0)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IFERROR(__xludf.DUMMYFUNCTION("IMPORTRANGE(""https://docs.google.com/spreadsheets/d/1SX6NBoVAgQJ6U1MVXOaj8PK2l7WJ3RER9xtqwdhxkhw/edit?usp=sharing"",""ลพบุรี!J136"")"),0)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IFERROR(__xludf.DUMMYFUNCTION("IMPORTRANGE(""https://docs.google.com/spreadsheets/d/1SX6NBoVAgQJ6U1MVXOaj8PK2l7WJ3RER9xtqwdhxkhw/edit?usp=sharing"",""ลพบุรี!J137"")"),0)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IFERROR(__xludf.DUMMYFUNCTION("IMPORTRANGE(""https://docs.google.com/spreadsheets/d/1SX6NBoVAgQJ6U1MVXOaj8PK2l7WJ3RER9xtqwdhxkhw/edit?usp=sharing"",""ลพบุรี!I138"")"),0)</f>
        <v>0</v>
      </c>
      <c r="J213" s="204">
        <f ca="1">IFERROR(__xludf.DUMMYFUNCTION("IMPORTRANGE(""https://docs.google.com/spreadsheets/d/1SX6NBoVAgQJ6U1MVXOaj8PK2l7WJ3RER9xtqwdhxkhw/edit?usp=sharing"",""ลพบุรี!J138"")"),0)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IFERROR(__xludf.DUMMYFUNCTION("IMPORTRANGE(""https://docs.google.com/spreadsheets/d/1SX6NBoVAgQJ6U1MVXOaj8PK2l7WJ3RER9xtqwdhxkhw/edit?usp=sharing"",""ลพบุรี!I140"")"),0)</f>
        <v>0</v>
      </c>
      <c r="J215" s="204">
        <f ca="1">IFERROR(__xludf.DUMMYFUNCTION("IMPORTRANGE(""https://docs.google.com/spreadsheets/d/1SX6NBoVAgQJ6U1MVXOaj8PK2l7WJ3RER9xtqwdhxkhw/edit?usp=sharing"",""ลพบุรี!J140"")"),0)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IFERROR(__xludf.DUMMYFUNCTION("IMPORTRANGE(""https://docs.google.com/spreadsheets/d/1SX6NBoVAgQJ6U1MVXOaj8PK2l7WJ3RER9xtqwdhxkhw/edit?usp=sharing"",""ลพบุรี!I141"")"),0)</f>
        <v>0</v>
      </c>
      <c r="J216" s="204">
        <f ca="1">IFERROR(__xludf.DUMMYFUNCTION("IMPORTRANGE(""https://docs.google.com/spreadsheets/d/1SX6NBoVAgQJ6U1MVXOaj8PK2l7WJ3RER9xtqwdhxkhw/edit?usp=sharing"",""ลพบุรี!J141"")"),0)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IFERROR(__xludf.DUMMYFUNCTION("IMPORTRANGE(""https://docs.google.com/spreadsheets/d/1SX6NBoVAgQJ6U1MVXOaj8PK2l7WJ3RER9xtqwdhxkhw/edit?usp=sharing"",""ลพบุรี!J142"")"),0)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IFERROR(__xludf.DUMMYFUNCTION("IMPORTRANGE(""https://docs.google.com/spreadsheets/d/1SX6NBoVAgQJ6U1MVXOaj8PK2l7WJ3RER9xtqwdhxkhw/edit?usp=sharing"",""ลพบุรี!J143"")"),0)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IFERROR(__xludf.DUMMYFUNCTION("IMPORTRANGE(""https://docs.google.com/spreadsheets/d/1SX6NBoVAgQJ6U1MVXOaj8PK2l7WJ3RER9xtqwdhxkhw/edit?usp=sharing"",""ลพบุรี!I144"")"),15)</f>
        <v>15</v>
      </c>
      <c r="J219" s="268">
        <f ca="1">IFERROR(__xludf.DUMMYFUNCTION("IMPORTRANGE(""https://docs.google.com/spreadsheets/d/1SX6NBoVAgQJ6U1MVXOaj8PK2l7WJ3RER9xtqwdhxkhw/edit?usp=sharing"",""ลพบุรี!J144"")"),15)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IFERROR(__xludf.DUMMYFUNCTION("IMPORTRANGE(""https://docs.google.com/spreadsheets/d/1Yj_ptqi66GCucihVvJfMjLAmec39IyEx_6qawtMGysU/edit?usp=sharing"",""สบก!BS74"")"),21125)</f>
        <v>21125</v>
      </c>
      <c r="N224" s="169">
        <f ca="1">IFERROR(__xludf.DUMMYFUNCTION("IMPORTRANGE(""https://docs.google.com/spreadsheets/d/1Yj_ptqi66GCucihVvJfMjLAmec39IyEx_6qawtMGysU/edit?usp=sharing"",""สบก!BT74"")"),21125)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IFERROR(__xludf.DUMMYFUNCTION("IMPORTRANGE(""https://docs.google.com/spreadsheets/d/1Yj_ptqi66GCucihVvJfMjLAmec39IyEx_6qawtMGysU/edit?usp=sharing"",""สบก!BQ74"")"),0)</f>
        <v>0</v>
      </c>
      <c r="M228" s="49"/>
      <c r="N228" s="49">
        <f ca="1">IFERROR(__xludf.DUMMYFUNCTION("IMPORTRANGE(""https://docs.google.com/spreadsheets/d/1Yj_ptqi66GCucihVvJfMjLAmec39IyEx_6qawtMGysU/edit?usp=sharing"",""สบก!BU74"")"),0)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IFERROR(__xludf.DUMMYFUNCTION("IMPORTRANGE(""https://docs.google.com/spreadsheets/d/1SX6NBoVAgQJ6U1MVXOaj8PK2l7WJ3RER9xtqwdhxkhw/edit?usp=sharing"",""ลพบุรี!I149"")"),15)</f>
        <v>15</v>
      </c>
      <c r="J229" s="268">
        <f ca="1">IFERROR(__xludf.DUMMYFUNCTION("IMPORTRANGE(""https://docs.google.com/spreadsheets/d/1SX6NBoVAgQJ6U1MVXOaj8PK2l7WJ3RER9xtqwdhxkhw/edit?usp=sharing"",""ลพบุรี!J149"")"),15)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IFERROR(__xludf.DUMMYFUNCTION("IMPORTRANGE(""https://docs.google.com/spreadsheets/d/1SX6NBoVAgQJ6U1MVXOaj8PK2l7WJ3RER9xtqwdhxkhw/edit?usp=sharing"",""ลพบุรี!J151"")"),0)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IFERROR(__xludf.DUMMYFUNCTION("IMPORTRANGE(""https://docs.google.com/spreadsheets/d/1SX6NBoVAgQJ6U1MVXOaj8PK2l7WJ3RER9xtqwdhxkhw/edit?usp=sharing"",""ลพบุรี!J152"")"),0)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IFERROR(__xludf.DUMMYFUNCTION("IMPORTRANGE(""https://docs.google.com/spreadsheets/d/1SX6NBoVAgQJ6U1MVXOaj8PK2l7WJ3RER9xtqwdhxkhw/edit?usp=sharing"",""ลพบุรี!J153"")"),0)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IFERROR(__xludf.DUMMYFUNCTION("IMPORTRANGE(""https://docs.google.com/spreadsheets/d/1SX6NBoVAgQJ6U1MVXOaj8PK2l7WJ3RER9xtqwdhxkhw/edit?usp=sharing"",""ลพบุรี!J154"")"),0)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IFERROR(__xludf.DUMMYFUNCTION("IMPORTRANGE(""https://docs.google.com/spreadsheets/d/1SX6NBoVAgQJ6U1MVXOaj8PK2l7WJ3RER9xtqwdhxkhw/edit?usp=sharing"",""ลพบุรี!I155"")"),15)</f>
        <v>15</v>
      </c>
      <c r="J235" s="189">
        <f ca="1">IFERROR(__xludf.DUMMYFUNCTION("IMPORTRANGE(""https://docs.google.com/spreadsheets/d/1SX6NBoVAgQJ6U1MVXOaj8PK2l7WJ3RER9xtqwdhxkhw/edit?usp=sharing"",""ลพบุรี!J155"")"),15)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IFERROR(__xludf.DUMMYFUNCTION("IMPORTRANGE(""https://docs.google.com/spreadsheets/d/1SX6NBoVAgQJ6U1MVXOaj8PK2l7WJ3RER9xtqwdhxkhw/edit?usp=sharing"",""ลพบุรี!J156"")"),0)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IFERROR(__xludf.DUMMYFUNCTION("IMPORTRANGE(""https://docs.google.com/spreadsheets/d/1SX6NBoVAgQJ6U1MVXOaj8PK2l7WJ3RER9xtqwdhxkhw/edit?usp=sharing"",""ลพบุรี!J157"")"),1)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IFERROR(__xludf.DUMMYFUNCTION("IMPORTRANGE(""https://docs.google.com/spreadsheets/d/1SX6NBoVAgQJ6U1MVXOaj8PK2l7WJ3RER9xtqwdhxkhw/edit?usp=sharing"",""ลพบุรี!I158"")"),0)</f>
        <v>0</v>
      </c>
      <c r="J238" s="268">
        <f ca="1">IFERROR(__xludf.DUMMYFUNCTION("IMPORTRANGE(""https://docs.google.com/spreadsheets/d/1SX6NBoVAgQJ6U1MVXOaj8PK2l7WJ3RER9xtqwdhxkhw/edit?usp=sharing"",""ลพบุรี!J158"")"),0)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IFERROR(__xludf.DUMMYFUNCTION("IMPORTRANGE(""https://docs.google.com/spreadsheets/d/1SX6NBoVAgQJ6U1MVXOaj8PK2l7WJ3RER9xtqwdhxkhw/edit?usp=sharing"",""ลพบุรี!J159"")"),"")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IFERROR(__xludf.DUMMYFUNCTION("IMPORTRANGE(""https://docs.google.com/spreadsheets/d/1SX6NBoVAgQJ6U1MVXOaj8PK2l7WJ3RER9xtqwdhxkhw/edit?usp=sharing"",""ลพบุรี!J161"")"),0)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IFERROR(__xludf.DUMMYFUNCTION("IMPORTRANGE(""https://docs.google.com/spreadsheets/d/1SX6NBoVAgQJ6U1MVXOaj8PK2l7WJ3RER9xtqwdhxkhw/edit?usp=sharing"",""ลพบุรี!J162"")"),0)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IFERROR(__xludf.DUMMYFUNCTION("IMPORTRANGE(""https://docs.google.com/spreadsheets/d/1SX6NBoVAgQJ6U1MVXOaj8PK2l7WJ3RER9xtqwdhxkhw/edit?usp=sharing"",""ลพบุรี!J163"")"),0)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IFERROR(__xludf.DUMMYFUNCTION("IMPORTRANGE(""https://docs.google.com/spreadsheets/d/1SX6NBoVAgQJ6U1MVXOaj8PK2l7WJ3RER9xtqwdhxkhw/edit?usp=sharing"",""ลพบุรี!I164"")"),0)</f>
        <v>0</v>
      </c>
      <c r="J244" s="188">
        <f ca="1">IFERROR(__xludf.DUMMYFUNCTION("IMPORTRANGE(""https://docs.google.com/spreadsheets/d/1SX6NBoVAgQJ6U1MVXOaj8PK2l7WJ3RER9xtqwdhxkhw/edit?usp=sharing"",""ลพบุรี!J164"")"),0)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IFERROR(__xludf.DUMMYFUNCTION("IMPORTRANGE(""https://docs.google.com/spreadsheets/d/1SX6NBoVAgQJ6U1MVXOaj8PK2l7WJ3RER9xtqwdhxkhw/edit?usp=sharing"",""ลพบุรี!J165"")"),0)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IFERROR(__xludf.DUMMYFUNCTION("IMPORTRANGE(""https://docs.google.com/spreadsheets/d/1SX6NBoVAgQJ6U1MVXOaj8PK2l7WJ3RER9xtqwdhxkhw/edit?usp=sharing"",""ลพบุรี!J166"")"),0)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IFERROR(__xludf.DUMMYFUNCTION("IMPORTRANGE(""https://docs.google.com/spreadsheets/d/1SX6NBoVAgQJ6U1MVXOaj8PK2l7WJ3RER9xtqwdhxkhw/edit?usp=sharing"",""ลพบุรี!I169"")"),25)</f>
        <v>25</v>
      </c>
      <c r="J249" s="317">
        <f ca="1">IFERROR(__xludf.DUMMYFUNCTION("IMPORTRANGE(""https://docs.google.com/spreadsheets/d/1SX6NBoVAgQJ6U1MVXOaj8PK2l7WJ3RER9xtqwdhxkhw/edit?usp=sharing"",""ลพบุรี!J169"")"),25)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199500</v>
      </c>
      <c r="M250" s="152">
        <f t="shared" ca="1" si="77"/>
        <v>199500</v>
      </c>
      <c r="N250" s="152">
        <f t="shared" ca="1" si="77"/>
        <v>176697</v>
      </c>
      <c r="O250" s="151">
        <f t="shared" ref="O250:O252" ca="1" si="78">IF(L250&gt;0,N250*100/L250,0)</f>
        <v>88.569924812030081</v>
      </c>
      <c r="P250" s="151">
        <f t="shared" ref="P250:P252" ca="1" si="79">IF(M250&gt;0,N250*100/M250,0)</f>
        <v>88.569924812030081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199500</v>
      </c>
      <c r="M252" s="157">
        <f t="shared" ca="1" si="81"/>
        <v>199500</v>
      </c>
      <c r="N252" s="157">
        <f t="shared" ca="1" si="81"/>
        <v>176697</v>
      </c>
      <c r="O252" s="156">
        <f t="shared" ca="1" si="78"/>
        <v>88.569924812030081</v>
      </c>
      <c r="P252" s="156">
        <f t="shared" ca="1" si="79"/>
        <v>88.569924812030081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199500</v>
      </c>
      <c r="M254" s="168">
        <f ca="1">IFERROR(__xludf.DUMMYFUNCTION("IMPORTRANGE(""https://docs.google.com/spreadsheets/d/1Yj_ptqi66GCucihVvJfMjLAmec39IyEx_6qawtMGysU/edit?usp=sharing"",""สบก!CB74"")"),199500)</f>
        <v>199500</v>
      </c>
      <c r="N254" s="169">
        <f ca="1">IFERROR(__xludf.DUMMYFUNCTION("IMPORTRANGE(""https://docs.google.com/spreadsheets/d/1Yj_ptqi66GCucihVvJfMjLAmec39IyEx_6qawtMGysU/edit?usp=sharing"",""สบก!CC74"")"),176697)</f>
        <v>176697</v>
      </c>
      <c r="O254" s="169">
        <f ca="1">IF(L254&gt;0,N254*100/L254,0)</f>
        <v>88.569924812030081</v>
      </c>
      <c r="P254" s="169">
        <f ca="1">IF(M254&gt;0,N254*100/M254,0)</f>
        <v>88.569924812030081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IFERROR(__xludf.DUMMYFUNCTION("IMPORTRANGE(""https://docs.google.com/spreadsheets/d/1Yj_ptqi66GCucihVvJfMjLAmec39IyEx_6qawtMGysU/edit?usp=sharing"",""สบก!BY74"")"),199500)</f>
        <v>199500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IFERROR(__xludf.DUMMYFUNCTION("IMPORTRANGE(""https://docs.google.com/spreadsheets/d/1Yj_ptqi66GCucihVvJfMjLAmec39IyEx_6qawtMGysU/edit?usp=sharing"",""สบก!BZ74"")"),0)</f>
        <v>0</v>
      </c>
      <c r="M258" s="49"/>
      <c r="N258" s="49">
        <f ca="1">IFERROR(__xludf.DUMMYFUNCTION("IMPORTRANGE(""https://docs.google.com/spreadsheets/d/1Yj_ptqi66GCucihVvJfMjLAmec39IyEx_6qawtMGysU/edit?usp=sharing"",""สบก!CD74"")"),0)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IFERROR(__xludf.DUMMYFUNCTION("IMPORTRANGE(""https://docs.google.com/spreadsheets/d/1SX6NBoVAgQJ6U1MVXOaj8PK2l7WJ3RER9xtqwdhxkhw/edit?usp=sharing"",""ลพบุรี!J175"")"),0)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IFERROR(__xludf.DUMMYFUNCTION("IMPORTRANGE(""https://docs.google.com/spreadsheets/d/1SX6NBoVAgQJ6U1MVXOaj8PK2l7WJ3RER9xtqwdhxkhw/edit?usp=sharing"",""ลพบุรี!J176"")"),1)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IFERROR(__xludf.DUMMYFUNCTION("IMPORTRANGE(""https://docs.google.com/spreadsheets/d/1SX6NBoVAgQJ6U1MVXOaj8PK2l7WJ3RER9xtqwdhxkhw/edit?usp=sharing"",""ลพบุรี!J177"")"),1)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IFERROR(__xludf.DUMMYFUNCTION("IMPORTRANGE(""https://docs.google.com/spreadsheets/d/1SX6NBoVAgQJ6U1MVXOaj8PK2l7WJ3RER9xtqwdhxkhw/edit?usp=sharing"",""ลพบุรี!J178"")"),1)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IFERROR(__xludf.DUMMYFUNCTION("IMPORTRANGE(""https://docs.google.com/spreadsheets/d/1SX6NBoVAgQJ6U1MVXOaj8PK2l7WJ3RER9xtqwdhxkhw/edit?usp=sharing"",""ลพบุรี!I179"")"),1)</f>
        <v>1</v>
      </c>
      <c r="J264" s="189">
        <f ca="1">IFERROR(__xludf.DUMMYFUNCTION("IMPORTRANGE(""https://docs.google.com/spreadsheets/d/1SX6NBoVAgQJ6U1MVXOaj8PK2l7WJ3RER9xtqwdhxkhw/edit?usp=sharing"",""ลพบุรี!J179"")"),1)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IFERROR(__xludf.DUMMYFUNCTION("IMPORTRANGE(""https://docs.google.com/spreadsheets/d/1SX6NBoVAgQJ6U1MVXOaj8PK2l7WJ3RER9xtqwdhxkhw/edit?usp=sharing"",""ลพบุรี!I180"")"),25)</f>
        <v>25</v>
      </c>
      <c r="J265" s="189">
        <f ca="1">IFERROR(__xludf.DUMMYFUNCTION("IMPORTRANGE(""https://docs.google.com/spreadsheets/d/1SX6NBoVAgQJ6U1MVXOaj8PK2l7WJ3RER9xtqwdhxkhw/edit?usp=sharing"",""ลพบุรี!J180"")"),25)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IFERROR(__xludf.DUMMYFUNCTION("IMPORTRANGE(""https://docs.google.com/spreadsheets/d/1SX6NBoVAgQJ6U1MVXOaj8PK2l7WJ3RER9xtqwdhxkhw/edit?usp=sharing"",""ลพบุรี!I181"")"),25)</f>
        <v>25</v>
      </c>
      <c r="J266" s="189">
        <f ca="1">IFERROR(__xludf.DUMMYFUNCTION("IMPORTRANGE(""https://docs.google.com/spreadsheets/d/1SX6NBoVAgQJ6U1MVXOaj8PK2l7WJ3RER9xtqwdhxkhw/edit?usp=sharing"",""ลพบุรี!J181"")"),25)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IFERROR(__xludf.DUMMYFUNCTION("IMPORTRANGE(""https://docs.google.com/spreadsheets/d/1SX6NBoVAgQJ6U1MVXOaj8PK2l7WJ3RER9xtqwdhxkhw/edit?usp=sharing"",""ลพบุรี!I182"")"),1)</f>
        <v>1</v>
      </c>
      <c r="J267" s="189">
        <f ca="1">IFERROR(__xludf.DUMMYFUNCTION("IMPORTRANGE(""https://docs.google.com/spreadsheets/d/1SX6NBoVAgQJ6U1MVXOaj8PK2l7WJ3RER9xtqwdhxkhw/edit?usp=sharing"",""ลพบุรี!J182"")"),1)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IFERROR(__xludf.DUMMYFUNCTION("IMPORTRANGE(""https://docs.google.com/spreadsheets/d/1SX6NBoVAgQJ6U1MVXOaj8PK2l7WJ3RER9xtqwdhxkhw/edit?usp=sharing"",""ลพบุรี!J183"")"),1)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IFERROR(__xludf.DUMMYFUNCTION("IMPORTRANGE(""https://docs.google.com/spreadsheets/d/1SX6NBoVAgQJ6U1MVXOaj8PK2l7WJ3RER9xtqwdhxkhw/edit?usp=sharing"",""ลพบุรี!J184"")"),0)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IFERROR(__xludf.DUMMYFUNCTION("IMPORTRANGE(""https://docs.google.com/spreadsheets/d/1SX6NBoVAgQJ6U1MVXOaj8PK2l7WJ3RER9xtqwdhxkhw/edit?usp=sharing"",""ลพบุรี!I185"")"),15)</f>
        <v>15</v>
      </c>
      <c r="J270" s="317">
        <f ca="1">IFERROR(__xludf.DUMMYFUNCTION("IMPORTRANGE(""https://docs.google.com/spreadsheets/d/1SX6NBoVAgQJ6U1MVXOaj8PK2l7WJ3RER9xtqwdhxkhw/edit?usp=sharing"",""ลพบุรี!J185"")"),15)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35720</v>
      </c>
      <c r="O271" s="151">
        <f t="shared" ref="O271:O273" ca="1" si="84">IF(L271&gt;0,N271*100/L271,0)</f>
        <v>64.710144927536234</v>
      </c>
      <c r="P271" s="151">
        <f t="shared" ref="P271:P273" ca="1" si="85">IF(M271&gt;0,N271*100/M271,0)</f>
        <v>64.710144927536234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35720</v>
      </c>
      <c r="O273" s="156">
        <f t="shared" ca="1" si="84"/>
        <v>64.710144927536234</v>
      </c>
      <c r="P273" s="156">
        <f t="shared" ca="1" si="85"/>
        <v>64.710144927536234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IFERROR(__xludf.DUMMYFUNCTION("IMPORTRANGE(""https://docs.google.com/spreadsheets/d/1Yj_ptqi66GCucihVvJfMjLAmec39IyEx_6qawtMGysU/edit?usp=sharing"",""สบก!CK74"")"),55200)</f>
        <v>55200</v>
      </c>
      <c r="N275" s="169">
        <f ca="1">IFERROR(__xludf.DUMMYFUNCTION("IMPORTRANGE(""https://docs.google.com/spreadsheets/d/1Yj_ptqi66GCucihVvJfMjLAmec39IyEx_6qawtMGysU/edit?usp=sharing"",""สบก!CL74"")"),35720)</f>
        <v>35720</v>
      </c>
      <c r="O275" s="169">
        <f ca="1">IF(L275&gt;0,N275*100/L275,0)</f>
        <v>64.710144927536234</v>
      </c>
      <c r="P275" s="169">
        <f ca="1">IF(M275&gt;0,N275*100/M275,0)</f>
        <v>64.710144927536234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IFERROR(__xludf.DUMMYFUNCTION("IMPORTRANGE(""https://docs.google.com/spreadsheets/d/1Yj_ptqi66GCucihVvJfMjLAmec39IyEx_6qawtMGysU/edit?usp=sharing"",""สบก!CH74"")"),55200)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IFERROR(__xludf.DUMMYFUNCTION("IMPORTRANGE(""https://docs.google.com/spreadsheets/d/1Yj_ptqi66GCucihVvJfMjLAmec39IyEx_6qawtMGysU/edit?usp=sharing"",""สบก!CI74"")"),0)</f>
        <v>0</v>
      </c>
      <c r="M279" s="49"/>
      <c r="N279" s="49">
        <f ca="1">IFERROR(__xludf.DUMMYFUNCTION("IMPORTRANGE(""https://docs.google.com/spreadsheets/d/1Yj_ptqi66GCucihVvJfMjLAmec39IyEx_6qawtMGysU/edit?usp=sharing"",""สบก!CM74"")"),0)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IFERROR(__xludf.DUMMYFUNCTION("IMPORTRANGE(""https://docs.google.com/spreadsheets/d/1SX6NBoVAgQJ6U1MVXOaj8PK2l7WJ3RER9xtqwdhxkhw/edit?usp=sharing"",""ลพบุรี!J191"")"),0)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IFERROR(__xludf.DUMMYFUNCTION("IMPORTRANGE(""https://docs.google.com/spreadsheets/d/1SX6NBoVAgQJ6U1MVXOaj8PK2l7WJ3RER9xtqwdhxkhw/edit?usp=sharing"",""ลพบุรี!J192"")"),1)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IFERROR(__xludf.DUMMYFUNCTION("IMPORTRANGE(""https://docs.google.com/spreadsheets/d/1SX6NBoVAgQJ6U1MVXOaj8PK2l7WJ3RER9xtqwdhxkhw/edit?usp=sharing"",""ลพบุรี!J193"")"),1)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IFERROR(__xludf.DUMMYFUNCTION("IMPORTRANGE(""https://docs.google.com/spreadsheets/d/1SX6NBoVAgQJ6U1MVXOaj8PK2l7WJ3RER9xtqwdhxkhw/edit?usp=sharing"",""ลพบุรี!J194"")"),1)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IFERROR(__xludf.DUMMYFUNCTION("IMPORTRANGE(""https://docs.google.com/spreadsheets/d/1SX6NBoVAgQJ6U1MVXOaj8PK2l7WJ3RER9xtqwdhxkhw/edit?usp=sharing"",""ลพบุรี!I195"")"),15)</f>
        <v>15</v>
      </c>
      <c r="J285" s="189">
        <f ca="1">IFERROR(__xludf.DUMMYFUNCTION("IMPORTRANGE(""https://docs.google.com/spreadsheets/d/1SX6NBoVAgQJ6U1MVXOaj8PK2l7WJ3RER9xtqwdhxkhw/edit?usp=sharing"",""ลพบุรี!J195"")"),15)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IFERROR(__xludf.DUMMYFUNCTION("IMPORTRANGE(""https://docs.google.com/spreadsheets/d/1SX6NBoVAgQJ6U1MVXOaj8PK2l7WJ3RER9xtqwdhxkhw/edit?usp=sharing"",""ลพบุรี!J196"")"),1)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IFERROR(__xludf.DUMMYFUNCTION("IMPORTRANGE(""https://docs.google.com/spreadsheets/d/1SX6NBoVAgQJ6U1MVXOaj8PK2l7WJ3RER9xtqwdhxkhw/edit?usp=sharing"",""ลพบุรี!J197"")"),1)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IFERROR(__xludf.DUMMYFUNCTION("IMPORTRANGE(""https://docs.google.com/spreadsheets/d/1SX6NBoVAgQJ6U1MVXOaj8PK2l7WJ3RER9xtqwdhxkhw/edit?usp=sharing"",""ลพบุรี!I199"")"),0)</f>
        <v>0</v>
      </c>
      <c r="J289" s="317">
        <f ca="1">IFERROR(__xludf.DUMMYFUNCTION("IMPORTRANGE(""https://docs.google.com/spreadsheets/d/1SX6NBoVAgQJ6U1MVXOaj8PK2l7WJ3RER9xtqwdhxkhw/edit?usp=sharing"",""ลพบุรี!J199"")"),0)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IFERROR(__xludf.DUMMYFUNCTION("IMPORTRANGE(""https://docs.google.com/spreadsheets/d/1Yj_ptqi66GCucihVvJfMjLAmec39IyEx_6qawtMGysU/edit?usp=sharing"",""สบก!CT74"")"),0)</f>
        <v>0</v>
      </c>
      <c r="N294" s="169">
        <f ca="1">IFERROR(__xludf.DUMMYFUNCTION("IMPORTRANGE(""https://docs.google.com/spreadsheets/d/1Yj_ptqi66GCucihVvJfMjLAmec39IyEx_6qawtMGysU/edit?usp=sharing"",""สบก!CU74"")"),0)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IFERROR(__xludf.DUMMYFUNCTION("IMPORTRANGE(""https://docs.google.com/spreadsheets/d/1Yj_ptqi66GCucihVvJfMjLAmec39IyEx_6qawtMGysU/edit?usp=sharing"",""สบก!CR74"")"),0)</f>
        <v>0</v>
      </c>
      <c r="M298" s="49"/>
      <c r="N298" s="49">
        <f ca="1">IFERROR(__xludf.DUMMYFUNCTION("IMPORTRANGE(""https://docs.google.com/spreadsheets/d/1Yj_ptqi66GCucihVvJfMjLAmec39IyEx_6qawtMGysU/edit?usp=sharing"",""สบก!CV74"")"),0)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IFERROR(__xludf.DUMMYFUNCTION("IMPORTRANGE(""https://docs.google.com/spreadsheets/d/1SX6NBoVAgQJ6U1MVXOaj8PK2l7WJ3RER9xtqwdhxkhw/edit?usp=sharing"",""ลพบุรี!J205"")"),0)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IFERROR(__xludf.DUMMYFUNCTION("IMPORTRANGE(""https://docs.google.com/spreadsheets/d/1SX6NBoVAgQJ6U1MVXOaj8PK2l7WJ3RER9xtqwdhxkhw/edit?usp=sharing"",""ลพบุรี!J206"")"),0)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IFERROR(__xludf.DUMMYFUNCTION("IMPORTRANGE(""https://docs.google.com/spreadsheets/d/1SX6NBoVAgQJ6U1MVXOaj8PK2l7WJ3RER9xtqwdhxkhw/edit?usp=sharing"",""ลพบุรี!J207"")"),0)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IFERROR(__xludf.DUMMYFUNCTION("IMPORTRANGE(""https://docs.google.com/spreadsheets/d/1SX6NBoVAgQJ6U1MVXOaj8PK2l7WJ3RER9xtqwdhxkhw/edit?usp=sharing"",""ลพบุรี!J208"")"),0)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IFERROR(__xludf.DUMMYFUNCTION("IMPORTRANGE(""https://docs.google.com/spreadsheets/d/1SX6NBoVAgQJ6U1MVXOaj8PK2l7WJ3RER9xtqwdhxkhw/edit?usp=sharing"",""ลพบุรี!I209"")"),0)</f>
        <v>0</v>
      </c>
      <c r="J304" s="204">
        <f ca="1">IFERROR(__xludf.DUMMYFUNCTION("IMPORTRANGE(""https://docs.google.com/spreadsheets/d/1SX6NBoVAgQJ6U1MVXOaj8PK2l7WJ3RER9xtqwdhxkhw/edit?usp=sharing"",""ลพบุรี!J209"")"),0)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IFERROR(__xludf.DUMMYFUNCTION("IMPORTRANGE(""https://docs.google.com/spreadsheets/d/1SX6NBoVAgQJ6U1MVXOaj8PK2l7WJ3RER9xtqwdhxkhw/edit?usp=sharing"",""ลพบุรี!I211"")"),0)</f>
        <v>0</v>
      </c>
      <c r="J306" s="204">
        <f ca="1">IFERROR(__xludf.DUMMYFUNCTION("IMPORTRANGE(""https://docs.google.com/spreadsheets/d/1SX6NBoVAgQJ6U1MVXOaj8PK2l7WJ3RER9xtqwdhxkhw/edit?usp=sharing"",""ลพบุรี!J211"")"),0)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IFERROR(__xludf.DUMMYFUNCTION("IMPORTRANGE(""https://docs.google.com/spreadsheets/d/1SX6NBoVAgQJ6U1MVXOaj8PK2l7WJ3RER9xtqwdhxkhw/edit?usp=sharing"",""ลพบุรี!J212"")"),0)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IFERROR(__xludf.DUMMYFUNCTION("IMPORTRANGE(""https://docs.google.com/spreadsheets/d/1SX6NBoVAgQJ6U1MVXOaj8PK2l7WJ3RER9xtqwdhxkhw/edit?usp=sharing"",""ลพบุรี!J213"")"),0)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IFERROR(__xludf.DUMMYFUNCTION("IMPORTRANGE(""https://docs.google.com/spreadsheets/d/1SX6NBoVAgQJ6U1MVXOaj8PK2l7WJ3RER9xtqwdhxkhw/edit?usp=sharing"",""ลพบุรี!I214"")"),0)</f>
        <v>0</v>
      </c>
      <c r="J309" s="334">
        <f ca="1">IFERROR(__xludf.DUMMYFUNCTION("IMPORTRANGE(""https://docs.google.com/spreadsheets/d/1SX6NBoVAgQJ6U1MVXOaj8PK2l7WJ3RER9xtqwdhxkhw/edit?usp=sharing"",""ลพบุรี!J214"")"),0)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IFERROR(__xludf.DUMMYFUNCTION("IMPORTRANGE(""https://docs.google.com/spreadsheets/d/1Yj_ptqi66GCucihVvJfMjLAmec39IyEx_6qawtMGysU/edit?usp=sharing"",""สบก!DC74"")"),0)</f>
        <v>0</v>
      </c>
      <c r="N314" s="169">
        <f ca="1">IFERROR(__xludf.DUMMYFUNCTION("IMPORTRANGE(""https://docs.google.com/spreadsheets/d/1Yj_ptqi66GCucihVvJfMjLAmec39IyEx_6qawtMGysU/edit?usp=sharing"",""สบก!DD74"")"),0)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IFERROR(__xludf.DUMMYFUNCTION("IMPORTRANGE(""https://docs.google.com/spreadsheets/d/1Yj_ptqi66GCucihVvJfMjLAmec39IyEx_6qawtMGysU/edit?usp=sharing"",""สบก!DA74"")"),0)</f>
        <v>0</v>
      </c>
      <c r="M318" s="49"/>
      <c r="N318" s="49">
        <f ca="1">IFERROR(__xludf.DUMMYFUNCTION("IMPORTRANGE(""https://docs.google.com/spreadsheets/d/1Yj_ptqi66GCucihVvJfMjLAmec39IyEx_6qawtMGysU/edit?usp=sharing"",""สบก!DE74"")"),0)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IFERROR(__xludf.DUMMYFUNCTION("IMPORTRANGE(""https://docs.google.com/spreadsheets/d/1SX6NBoVAgQJ6U1MVXOaj8PK2l7WJ3RER9xtqwdhxkhw/edit?usp=sharing"",""ลพบุรี!J220"")"),0)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IFERROR(__xludf.DUMMYFUNCTION("IMPORTRANGE(""https://docs.google.com/spreadsheets/d/1SX6NBoVAgQJ6U1MVXOaj8PK2l7WJ3RER9xtqwdhxkhw/edit?usp=sharing"",""ลพบุรี!J221"")"),0)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IFERROR(__xludf.DUMMYFUNCTION("IMPORTRANGE(""https://docs.google.com/spreadsheets/d/1SX6NBoVAgQJ6U1MVXOaj8PK2l7WJ3RER9xtqwdhxkhw/edit?usp=sharing"",""ลพบุรี!J222"")"),0)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IFERROR(__xludf.DUMMYFUNCTION("IMPORTRANGE(""https://docs.google.com/spreadsheets/d/1SX6NBoVAgQJ6U1MVXOaj8PK2l7WJ3RER9xtqwdhxkhw/edit?usp=sharing"",""ลพบุรี!J223"")"),0)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IFERROR(__xludf.DUMMYFUNCTION("IMPORTRANGE(""https://docs.google.com/spreadsheets/d/1SX6NBoVAgQJ6U1MVXOaj8PK2l7WJ3RER9xtqwdhxkhw/edit?usp=sharing"",""ลพบุรี!I224"")"),0)</f>
        <v>0</v>
      </c>
      <c r="J324" s="204">
        <f ca="1">IFERROR(__xludf.DUMMYFUNCTION("IMPORTRANGE(""https://docs.google.com/spreadsheets/d/1SX6NBoVAgQJ6U1MVXOaj8PK2l7WJ3RER9xtqwdhxkhw/edit?usp=sharing"",""ลพบุรี!J224"")"),0)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IFERROR(__xludf.DUMMYFUNCTION("IMPORTRANGE(""https://docs.google.com/spreadsheets/d/1SX6NBoVAgQJ6U1MVXOaj8PK2l7WJ3RER9xtqwdhxkhw/edit?usp=sharing"",""ลพบุรี!J225"")"),0)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IFERROR(__xludf.DUMMYFUNCTION("IMPORTRANGE(""https://docs.google.com/spreadsheets/d/1SX6NBoVAgQJ6U1MVXOaj8PK2l7WJ3RER9xtqwdhxkhw/edit?usp=sharing"",""ลพบุรี!J226"")"),0)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IFERROR(__xludf.DUMMYFUNCTION("IMPORTRANGE(""https://docs.google.com/spreadsheets/d/1SX6NBoVAgQJ6U1MVXOaj8PK2l7WJ3RER9xtqwdhxkhw/edit?usp=sharing"",""ลพบุรี!I228"")"),170)</f>
        <v>170</v>
      </c>
      <c r="J328" s="340">
        <f ca="1">IFERROR(__xludf.DUMMYFUNCTION("IMPORTRANGE(""https://docs.google.com/spreadsheets/d/1SX6NBoVAgQJ6U1MVXOaj8PK2l7WJ3RER9xtqwdhxkhw/edit?usp=sharing"",""ลพบุรี!J228"")"),121)</f>
        <v>121</v>
      </c>
      <c r="K328" s="318">
        <f ca="1">IF(I328&gt;0,J328*100/I328,0)</f>
        <v>71.17647058823529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960550</v>
      </c>
      <c r="M329" s="152">
        <f t="shared" ca="1" si="98"/>
        <v>997300</v>
      </c>
      <c r="N329" s="152">
        <f t="shared" ca="1" si="98"/>
        <v>739366</v>
      </c>
      <c r="O329" s="151">
        <f t="shared" ref="O329:O331" ca="1" si="99">IF(L329&gt;0,N329*100/L329,0)</f>
        <v>76.973192441830207</v>
      </c>
      <c r="P329" s="151">
        <f t="shared" ref="P329:P331" ca="1" si="100">IF(M329&gt;0,N329*100/M329,0)</f>
        <v>74.136769277048032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960550</v>
      </c>
      <c r="M331" s="157">
        <f t="shared" ca="1" si="102"/>
        <v>997300</v>
      </c>
      <c r="N331" s="157">
        <f t="shared" ca="1" si="102"/>
        <v>739366</v>
      </c>
      <c r="O331" s="156">
        <f t="shared" ca="1" si="99"/>
        <v>76.973192441830207</v>
      </c>
      <c r="P331" s="156">
        <f t="shared" ca="1" si="100"/>
        <v>74.136769277048032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960550</v>
      </c>
      <c r="M333" s="168">
        <f ca="1">IFERROR(__xludf.DUMMYFUNCTION("IMPORTRANGE(""https://docs.google.com/spreadsheets/d/1Yj_ptqi66GCucihVvJfMjLAmec39IyEx_6qawtMGysU/edit?usp=sharing"",""สบก!DL74"")"),997300)</f>
        <v>997300</v>
      </c>
      <c r="N333" s="169">
        <f ca="1">IFERROR(__xludf.DUMMYFUNCTION("IMPORTRANGE(""https://docs.google.com/spreadsheets/d/1Yj_ptqi66GCucihVvJfMjLAmec39IyEx_6qawtMGysU/edit?usp=sharing"",""สบก!DM74"")"),739366)</f>
        <v>739366</v>
      </c>
      <c r="O333" s="169">
        <f ca="1">IF(L333&gt;0,N333*100/L333,0)</f>
        <v>76.973192441830207</v>
      </c>
      <c r="P333" s="169">
        <f ca="1">IF(M333&gt;0,N333*100/M333,0)</f>
        <v>74.136769277048032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IFERROR(__xludf.DUMMYFUNCTION("IMPORTRANGE(""https://docs.google.com/spreadsheets/d/1Yj_ptqi66GCucihVvJfMjLAmec39IyEx_6qawtMGysU/edit?usp=sharing"",""สบก!DH74"")"),500400)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IFERROR(__xludf.DUMMYFUNCTION("IMPORTRANGE(""https://docs.google.com/spreadsheets/d/1Yj_ptqi66GCucihVvJfMjLAmec39IyEx_6qawtMGysU/edit?usp=sharing"",""สบก!DI74"")"),460150)</f>
        <v>460150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IFERROR(__xludf.DUMMYFUNCTION("IMPORTRANGE(""https://docs.google.com/spreadsheets/d/1Yj_ptqi66GCucihVvJfMjLAmec39IyEx_6qawtMGysU/edit?usp=sharing"",""สบก!DJ74"")"),0)</f>
        <v>0</v>
      </c>
      <c r="M337" s="49"/>
      <c r="N337" s="49">
        <f ca="1">IFERROR(__xludf.DUMMYFUNCTION("IMPORTRANGE(""https://docs.google.com/spreadsheets/d/1Yj_ptqi66GCucihVvJfMjLAmec39IyEx_6qawtMGysU/edit?usp=sharing"",""สบก!DN74"")"),0)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IFERROR(__xludf.DUMMYFUNCTION("IMPORTRANGE(""https://docs.google.com/spreadsheets/d/1SX6NBoVAgQJ6U1MVXOaj8PK2l7WJ3RER9xtqwdhxkhw/edit?usp=sharing"",""ลพบุรี!I234"")"),0)</f>
        <v>0</v>
      </c>
      <c r="J339" s="188">
        <f ca="1">IFERROR(__xludf.DUMMYFUNCTION("IMPORTRANGE(""https://docs.google.com/spreadsheets/d/1SX6NBoVAgQJ6U1MVXOaj8PK2l7WJ3RER9xtqwdhxkhw/edit?usp=sharing"",""ลพบุรี!J234"")"),249)</f>
        <v>249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IFERROR(__xludf.DUMMYFUNCTION("IMPORTRANGE(""https://docs.google.com/spreadsheets/d/1SX6NBoVAgQJ6U1MVXOaj8PK2l7WJ3RER9xtqwdhxkhw/edit?usp=sharing"",""ลพบุรี!I235"")"),3250)</f>
        <v>3250</v>
      </c>
      <c r="J340" s="188">
        <f ca="1">IFERROR(__xludf.DUMMYFUNCTION("IMPORTRANGE(""https://docs.google.com/spreadsheets/d/1SX6NBoVAgQJ6U1MVXOaj8PK2l7WJ3RER9xtqwdhxkhw/edit?usp=sharing"",""ลพบุรี!J235"")"),2745.08)</f>
        <v>2745.08</v>
      </c>
      <c r="K340" s="343">
        <f t="shared" ca="1" si="103"/>
        <v>84.463999999999999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IFERROR(__xludf.DUMMYFUNCTION("IMPORTRANGE(""https://docs.google.com/spreadsheets/d/1SX6NBoVAgQJ6U1MVXOaj8PK2l7WJ3RER9xtqwdhxkhw/edit?usp=sharing"",""ลพบุรี!I236"")"),170)</f>
        <v>170</v>
      </c>
      <c r="J341" s="188">
        <f ca="1">IFERROR(__xludf.DUMMYFUNCTION("IMPORTRANGE(""https://docs.google.com/spreadsheets/d/1SX6NBoVAgQJ6U1MVXOaj8PK2l7WJ3RER9xtqwdhxkhw/edit?usp=sharing"",""ลพบุรี!J236"")"),259)</f>
        <v>259</v>
      </c>
      <c r="K341" s="343">
        <f t="shared" ca="1" si="103"/>
        <v>152.35294117647058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IFERROR(__xludf.DUMMYFUNCTION("IMPORTRANGE(""https://docs.google.com/spreadsheets/d/1SX6NBoVAgQJ6U1MVXOaj8PK2l7WJ3RER9xtqwdhxkhw/edit?usp=sharing"",""ลพบุรี!I237"")"),0)</f>
        <v>0</v>
      </c>
      <c r="J342" s="188">
        <f ca="1">IFERROR(__xludf.DUMMYFUNCTION("IMPORTRANGE(""https://docs.google.com/spreadsheets/d/1SX6NBoVAgQJ6U1MVXOaj8PK2l7WJ3RER9xtqwdhxkhw/edit?usp=sharing"",""ลพบุรี!J237"")"),3498.07)</f>
        <v>3498.07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IFERROR(__xludf.DUMMYFUNCTION("IMPORTRANGE(""https://docs.google.com/spreadsheets/d/1SX6NBoVAgQJ6U1MVXOaj8PK2l7WJ3RER9xtqwdhxkhw/edit?usp=sharing"",""ลพบุรี!I238"")"),170)</f>
        <v>170</v>
      </c>
      <c r="J343" s="188">
        <f ca="1">IFERROR(__xludf.DUMMYFUNCTION("IMPORTRANGE(""https://docs.google.com/spreadsheets/d/1SX6NBoVAgQJ6U1MVXOaj8PK2l7WJ3RER9xtqwdhxkhw/edit?usp=sharing"",""ลพบุรี!J238"")"),35)</f>
        <v>35</v>
      </c>
      <c r="K343" s="343">
        <f t="shared" ca="1" si="103"/>
        <v>20.588235294117649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IFERROR(__xludf.DUMMYFUNCTION("IMPORTRANGE(""https://docs.google.com/spreadsheets/d/1SX6NBoVAgQJ6U1MVXOaj8PK2l7WJ3RER9xtqwdhxkhw/edit?usp=sharing"",""ลพบุรี!I239"")"),0)</f>
        <v>0</v>
      </c>
      <c r="J344" s="188">
        <f ca="1">IFERROR(__xludf.DUMMYFUNCTION("IMPORTRANGE(""https://docs.google.com/spreadsheets/d/1SX6NBoVAgQJ6U1MVXOaj8PK2l7WJ3RER9xtqwdhxkhw/edit?usp=sharing"",""ลพบุรี!J239"")"),425.6)</f>
        <v>425.6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IFERROR(__xludf.DUMMYFUNCTION("IMPORTRANGE(""https://docs.google.com/spreadsheets/d/1SX6NBoVAgQJ6U1MVXOaj8PK2l7WJ3RER9xtqwdhxkhw/edit?usp=sharing"",""ลพบุรี!I240"")"),170)</f>
        <v>170</v>
      </c>
      <c r="J345" s="188">
        <f ca="1">IFERROR(__xludf.DUMMYFUNCTION("IMPORTRANGE(""https://docs.google.com/spreadsheets/d/1SX6NBoVAgQJ6U1MVXOaj8PK2l7WJ3RER9xtqwdhxkhw/edit?usp=sharing"",""ลพบุรี!J240"")"),121)</f>
        <v>121</v>
      </c>
      <c r="K345" s="343">
        <f t="shared" ca="1" si="103"/>
        <v>71.17647058823529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IFERROR(__xludf.DUMMYFUNCTION("IMPORTRANGE(""https://docs.google.com/spreadsheets/d/1SX6NBoVAgQJ6U1MVXOaj8PK2l7WJ3RER9xtqwdhxkhw/edit?usp=sharing"",""ลพบุรี!I241"")"),0)</f>
        <v>0</v>
      </c>
      <c r="J346" s="188">
        <f ca="1">IFERROR(__xludf.DUMMYFUNCTION("IMPORTRANGE(""https://docs.google.com/spreadsheets/d/1SX6NBoVAgQJ6U1MVXOaj8PK2l7WJ3RER9xtqwdhxkhw/edit?usp=sharing"",""ลพบุรี!J241"")"),1972.21)</f>
        <v>1972.21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IFERROR(__xludf.DUMMYFUNCTION("IMPORTRANGE(""https://docs.google.com/spreadsheets/d/1SX6NBoVAgQJ6U1MVXOaj8PK2l7WJ3RER9xtqwdhxkhw/edit?usp=sharing"",""ลพบุรี!L242"")"),2569101)</f>
        <v>2569101</v>
      </c>
      <c r="M347" s="358"/>
      <c r="N347" s="358">
        <f ca="1">IFERROR(__xludf.DUMMYFUNCTION("IMPORTRANGE(""https://docs.google.com/spreadsheets/d/1SX6NBoVAgQJ6U1MVXOaj8PK2l7WJ3RER9xtqwdhxkhw/edit?usp=sharing"",""ลพบุรี!M242"")"),938087.15)</f>
        <v>938087.15</v>
      </c>
      <c r="O347" s="358">
        <f ca="1">+IF(L347&gt;0,N347*100/L347,0)</f>
        <v>36.514218397797521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IFERROR(__xludf.DUMMYFUNCTION("IMPORTRANGE(""https://docs.google.com/spreadsheets/d/1SX6NBoVAgQJ6U1MVXOaj8PK2l7WJ3RER9xtqwdhxkhw/edit?usp=sharing"",""ลพบุรี!I244"")"),60)</f>
        <v>60</v>
      </c>
      <c r="J349" s="371">
        <f ca="1">IFERROR(__xludf.DUMMYFUNCTION("IMPORTRANGE(""https://docs.google.com/spreadsheets/d/1SX6NBoVAgQJ6U1MVXOaj8PK2l7WJ3RER9xtqwdhxkhw/edit?usp=sharing"",""ลพบุรี!J244"")"),60)</f>
        <v>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IFERROR(__xludf.DUMMYFUNCTION("IMPORTRANGE(""https://docs.google.com/spreadsheets/d/1SX6NBoVAgQJ6U1MVXOaj8PK2l7WJ3RER9xtqwdhxkhw/edit?usp=sharing"",""ลพบุรี!L244"")"),289160)</f>
        <v>289160</v>
      </c>
      <c r="M349" s="373"/>
      <c r="N349" s="373">
        <f ca="1">IFERROR(__xludf.DUMMYFUNCTION("IMPORTRANGE(""https://docs.google.com/spreadsheets/d/1SX6NBoVAgQJ6U1MVXOaj8PK2l7WJ3RER9xtqwdhxkhw/edit?usp=sharing"",""ลพบุรี!M244"")"),223995)</f>
        <v>223995</v>
      </c>
      <c r="O349" s="373">
        <f ca="1">+IF(L349&gt;0,N349*100/L349,0)</f>
        <v>77.464033752939542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IFERROR(__xludf.DUMMYFUNCTION("IMPORTRANGE(""https://docs.google.com/spreadsheets/d/1SX6NBoVAgQJ6U1MVXOaj8PK2l7WJ3RER9xtqwdhxkhw/edit?usp=sharing"",""ลพบุรี!I245"")"),40)</f>
        <v>40</v>
      </c>
      <c r="J350" s="371">
        <f ca="1">IFERROR(__xludf.DUMMYFUNCTION("IMPORTRANGE(""https://docs.google.com/spreadsheets/d/1SX6NBoVAgQJ6U1MVXOaj8PK2l7WJ3RER9xtqwdhxkhw/edit?usp=sharing"",""ลพบุรี!J245"")"),40)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IFERROR(__xludf.DUMMYFUNCTION("IMPORTRANGE(""https://docs.google.com/spreadsheets/d/1SX6NBoVAgQJ6U1MVXOaj8PK2l7WJ3RER9xtqwdhxkhw/edit?usp=sharing"",""ลพบุรี!L246"")"),0)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IFERROR(__xludf.DUMMYFUNCTION("IMPORTRANGE(""https://docs.google.com/spreadsheets/d/1SX6NBoVAgQJ6U1MVXOaj8PK2l7WJ3RER9xtqwdhxkhw/edit?usp=sharing"",""ลพบุรี!M246"")"),0)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IFERROR(__xludf.DUMMYFUNCTION("IMPORTRANGE(""https://docs.google.com/spreadsheets/d/1SX6NBoVAgQJ6U1MVXOaj8PK2l7WJ3RER9xtqwdhxkhw/edit?usp=sharing"",""ลพบุรี!L247"")"),289160)</f>
        <v>289160</v>
      </c>
      <c r="M352" s="165"/>
      <c r="N352" s="164">
        <f ca="1">IFERROR(__xludf.DUMMYFUNCTION("IMPORTRANGE(""https://docs.google.com/spreadsheets/d/1SX6NBoVAgQJ6U1MVXOaj8PK2l7WJ3RER9xtqwdhxkhw/edit?usp=sharing"",""ลพบุรี!M247"")"),223995)</f>
        <v>223995</v>
      </c>
      <c r="O352" s="165">
        <f t="shared" ca="1" si="105"/>
        <v>77.464033752939542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IFERROR(__xludf.DUMMYFUNCTION("IMPORTRANGE(""https://docs.google.com/spreadsheets/d/1SX6NBoVAgQJ6U1MVXOaj8PK2l7WJ3RER9xtqwdhxkhw/edit?usp=sharing"",""ลพบุรี!L248"")"),0)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IFERROR(__xludf.DUMMYFUNCTION("IMPORTRANGE(""https://docs.google.com/spreadsheets/d/1SX6NBoVAgQJ6U1MVXOaj8PK2l7WJ3RER9xtqwdhxkhw/edit?usp=sharing"",""ลพบุรี!M248"")"),0)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IFERROR(__xludf.DUMMYFUNCTION("IMPORTRANGE(""https://docs.google.com/spreadsheets/d/1SX6NBoVAgQJ6U1MVXOaj8PK2l7WJ3RER9xtqwdhxkhw/edit?usp=sharing"",""ลพบุรี!L249"")"),289160)</f>
        <v>289160</v>
      </c>
      <c r="M354" s="169"/>
      <c r="N354" s="168">
        <f ca="1">IFERROR(__xludf.DUMMYFUNCTION("IMPORTRANGE(""https://docs.google.com/spreadsheets/d/1SX6NBoVAgQJ6U1MVXOaj8PK2l7WJ3RER9xtqwdhxkhw/edit?usp=sharing"",""ลพบุรี!M249"")"),223995)</f>
        <v>223995</v>
      </c>
      <c r="O354" s="169">
        <f t="shared" ca="1" si="105"/>
        <v>77.464033752939542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IFERROR(__xludf.DUMMYFUNCTION("IMPORTRANGE(""https://docs.google.com/spreadsheets/d/1SX6NBoVAgQJ6U1MVXOaj8PK2l7WJ3RER9xtqwdhxkhw/edit?usp=sharing"",""ลพบุรี!M250"")"),50400)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IFERROR(__xludf.DUMMYFUNCTION("IMPORTRANGE(""https://docs.google.com/spreadsheets/d/1SX6NBoVAgQJ6U1MVXOaj8PK2l7WJ3RER9xtqwdhxkhw/edit?usp=sharing"",""ลพบุรี!M251"")"),61000)</f>
        <v>61000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IFERROR(__xludf.DUMMYFUNCTION("IMPORTRANGE(""https://docs.google.com/spreadsheets/d/1SX6NBoVAgQJ6U1MVXOaj8PK2l7WJ3RER9xtqwdhxkhw/edit?usp=sharing"",""ลพบุรี!M252"")"),88975)</f>
        <v>88975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IFERROR(__xludf.DUMMYFUNCTION("IMPORTRANGE(""https://docs.google.com/spreadsheets/d/1SX6NBoVAgQJ6U1MVXOaj8PK2l7WJ3RER9xtqwdhxkhw/edit?usp=sharing"",""ลพบุรี!M253"")"),23620)</f>
        <v>23620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IFERROR(__xludf.DUMMYFUNCTION("IMPORTRANGE(""https://docs.google.com/spreadsheets/d/1SX6NBoVAgQJ6U1MVXOaj8PK2l7WJ3RER9xtqwdhxkhw/edit?usp=sharing"",""ลพบุรี!J255"")"),0)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IFERROR(__xludf.DUMMYFUNCTION("IMPORTRANGE(""https://docs.google.com/spreadsheets/d/1SX6NBoVAgQJ6U1MVXOaj8PK2l7WJ3RER9xtqwdhxkhw/edit?usp=sharing"",""ลพบุรี!J256"")"),1)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IFERROR(__xludf.DUMMYFUNCTION("IMPORTRANGE(""https://docs.google.com/spreadsheets/d/1SX6NBoVAgQJ6U1MVXOaj8PK2l7WJ3RER9xtqwdhxkhw/edit?usp=sharing"",""ลพบุรี!J257"")"),1)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IFERROR(__xludf.DUMMYFUNCTION("IMPORTRANGE(""https://docs.google.com/spreadsheets/d/1SX6NBoVAgQJ6U1MVXOaj8PK2l7WJ3RER9xtqwdhxkhw/edit?usp=sharing"",""ลพบุรี!J258"")"),1)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IFERROR(__xludf.DUMMYFUNCTION("IMPORTRANGE(""https://docs.google.com/spreadsheets/d/1SX6NBoVAgQJ6U1MVXOaj8PK2l7WJ3RER9xtqwdhxkhw/edit?usp=sharing"",""ลพบุรี!J166"")"),0)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IFERROR(__xludf.DUMMYFUNCTION("IMPORTRANGE(""https://docs.google.com/spreadsheets/d/1SX6NBoVAgQJ6U1MVXOaj8PK2l7WJ3RER9xtqwdhxkhw/edit?usp=sharing"",""ลพบุรี!J166"")"),0)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IFERROR(__xludf.DUMMYFUNCTION("IMPORTRANGE(""https://docs.google.com/spreadsheets/d/1SX6NBoVAgQJ6U1MVXOaj8PK2l7WJ3RER9xtqwdhxkhw/edit?usp=sharing"",""ลพบุรี!J166"")"),0)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IFERROR(__xludf.DUMMYFUNCTION("IMPORTRANGE(""https://docs.google.com/spreadsheets/d/1SX6NBoVAgQJ6U1MVXOaj8PK2l7WJ3RER9xtqwdhxkhw/edit?usp=sharing"",""ลพบุรี!J166"")"),0)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IFERROR(__xludf.DUMMYFUNCTION("IMPORTRANGE(""https://docs.google.com/spreadsheets/d/1SX6NBoVAgQJ6U1MVXOaj8PK2l7WJ3RER9xtqwdhxkhw/edit?usp=sharing"",""ลพบุรี!I263"")"),40)</f>
        <v>40</v>
      </c>
      <c r="J368" s="188">
        <f ca="1">IFERROR(__xludf.DUMMYFUNCTION("IMPORTRANGE(""https://docs.google.com/spreadsheets/d/1SX6NBoVAgQJ6U1MVXOaj8PK2l7WJ3RER9xtqwdhxkhw/edit?usp=sharing"",""ลพบุรี!J263"")"),40)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IFERROR(__xludf.DUMMYFUNCTION("IMPORTRANGE(""https://docs.google.com/spreadsheets/d/1SX6NBoVAgQJ6U1MVXOaj8PK2l7WJ3RER9xtqwdhxkhw/edit?usp=sharing"",""ลพบุรี!I164"")"),0)</f>
        <v>0</v>
      </c>
      <c r="J369" s="204">
        <f ca="1">IFERROR(__xludf.DUMMYFUNCTION("IMPORTRANGE(""https://docs.google.com/spreadsheets/d/1SX6NBoVAgQJ6U1MVXOaj8PK2l7WJ3RER9xtqwdhxkhw/edit?usp=sharing"",""ลพบุรี!J164"")"),0)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IFERROR(__xludf.DUMMYFUNCTION("IMPORTRANGE(""https://docs.google.com/spreadsheets/d/1SX6NBoVAgQJ6U1MVXOaj8PK2l7WJ3RER9xtqwdhxkhw/edit?usp=sharing"",""ลพบุรี!I265"")"),40)</f>
        <v>40</v>
      </c>
      <c r="J370" s="204">
        <f ca="1">IFERROR(__xludf.DUMMYFUNCTION("IMPORTRANGE(""https://docs.google.com/spreadsheets/d/1SX6NBoVAgQJ6U1MVXOaj8PK2l7WJ3RER9xtqwdhxkhw/edit?usp=sharing"",""ลพบุรี!J265"")"),20)</f>
        <v>20</v>
      </c>
      <c r="K370" s="163">
        <f t="shared" ca="1" si="106"/>
        <v>50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IFERROR(__xludf.DUMMYFUNCTION("IMPORTRANGE(""https://docs.google.com/spreadsheets/d/1SX6NBoVAgQJ6U1MVXOaj8PK2l7WJ3RER9xtqwdhxkhw/edit?usp=sharing"",""ลพบุรี!I164"")"),0)</f>
        <v>0</v>
      </c>
      <c r="J371" s="189">
        <f ca="1">IFERROR(__xludf.DUMMYFUNCTION("IMPORTRANGE(""https://docs.google.com/spreadsheets/d/1SX6NBoVAgQJ6U1MVXOaj8PK2l7WJ3RER9xtqwdhxkhw/edit?usp=sharing"",""ลพบุรี!J164"")"),0)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IFERROR(__xludf.DUMMYFUNCTION("IMPORTRANGE(""https://docs.google.com/spreadsheets/d/1SX6NBoVAgQJ6U1MVXOaj8PK2l7WJ3RER9xtqwdhxkhw/edit?usp=sharing"",""ลพบุรี!I267"")"),40)</f>
        <v>40</v>
      </c>
      <c r="J372" s="189">
        <f ca="1">IFERROR(__xludf.DUMMYFUNCTION("IMPORTRANGE(""https://docs.google.com/spreadsheets/d/1SX6NBoVAgQJ6U1MVXOaj8PK2l7WJ3RER9xtqwdhxkhw/edit?usp=sharing"",""ลพบุรี!J267"")"),20)</f>
        <v>20</v>
      </c>
      <c r="K372" s="163">
        <f t="shared" ca="1" si="106"/>
        <v>50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IFERROR(__xludf.DUMMYFUNCTION("IMPORTRANGE(""https://docs.google.com/spreadsheets/d/1SX6NBoVAgQJ6U1MVXOaj8PK2l7WJ3RER9xtqwdhxkhw/edit?usp=sharing"",""ลพบุรี!I164"")"),0)</f>
        <v>0</v>
      </c>
      <c r="J373" s="204">
        <f ca="1">IFERROR(__xludf.DUMMYFUNCTION("IMPORTRANGE(""https://docs.google.com/spreadsheets/d/1SX6NBoVAgQJ6U1MVXOaj8PK2l7WJ3RER9xtqwdhxkhw/edit?usp=sharing"",""ลพบุรี!J164"")"),0)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IFERROR(__xludf.DUMMYFUNCTION("IMPORTRANGE(""https://docs.google.com/spreadsheets/d/1SX6NBoVAgQJ6U1MVXOaj8PK2l7WJ3RER9xtqwdhxkhw/edit?usp=sharing"",""ลพบุรี!I164"")"),0)</f>
        <v>0</v>
      </c>
      <c r="J374" s="188">
        <f ca="1">IFERROR(__xludf.DUMMYFUNCTION("IMPORTRANGE(""https://docs.google.com/spreadsheets/d/1SX6NBoVAgQJ6U1MVXOaj8PK2l7WJ3RER9xtqwdhxkhw/edit?usp=sharing"",""ลพบุรี!J164"")"),0)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IFERROR(__xludf.DUMMYFUNCTION("IMPORTRANGE(""https://docs.google.com/spreadsheets/d/1SX6NBoVAgQJ6U1MVXOaj8PK2l7WJ3RER9xtqwdhxkhw/edit?usp=sharing"",""ลพบุรี!I270"")"),60)</f>
        <v>60</v>
      </c>
      <c r="J375" s="188">
        <f ca="1">IFERROR(__xludf.DUMMYFUNCTION("IMPORTRANGE(""https://docs.google.com/spreadsheets/d/1SX6NBoVAgQJ6U1MVXOaj8PK2l7WJ3RER9xtqwdhxkhw/edit?usp=sharing"",""ลพบุรี!J270"")"),60)</f>
        <v>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IFERROR(__xludf.DUMMYFUNCTION("IMPORTRANGE(""https://docs.google.com/spreadsheets/d/1SX6NBoVAgQJ6U1MVXOaj8PK2l7WJ3RER9xtqwdhxkhw/edit?usp=sharing"",""ลพบุรี!I271"")"),30)</f>
        <v>30</v>
      </c>
      <c r="J376" s="189">
        <f ca="1">IFERROR(__xludf.DUMMYFUNCTION("IMPORTRANGE(""https://docs.google.com/spreadsheets/d/1SX6NBoVAgQJ6U1MVXOaj8PK2l7WJ3RER9xtqwdhxkhw/edit?usp=sharing"",""ลพบุรี!J271"")"),30)</f>
        <v>30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IFERROR(__xludf.DUMMYFUNCTION("IMPORTRANGE(""https://docs.google.com/spreadsheets/d/1SX6NBoVAgQJ6U1MVXOaj8PK2l7WJ3RER9xtqwdhxkhw/edit?usp=sharing"",""ลพบุรี!I272"")"),30)</f>
        <v>30</v>
      </c>
      <c r="J377" s="204">
        <f ca="1">IFERROR(__xludf.DUMMYFUNCTION("IMPORTRANGE(""https://docs.google.com/spreadsheets/d/1SX6NBoVAgQJ6U1MVXOaj8PK2l7WJ3RER9xtqwdhxkhw/edit?usp=sharing"",""ลพบุรี!J272"")"),30)</f>
        <v>30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IFERROR(__xludf.DUMMYFUNCTION("IMPORTRANGE(""https://docs.google.com/spreadsheets/d/1SX6NBoVAgQJ6U1MVXOaj8PK2l7WJ3RER9xtqwdhxkhw/edit?usp=sharing"",""ลพบุรี!J273"")"),1)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IFERROR(__xludf.DUMMYFUNCTION("IMPORTRANGE(""https://docs.google.com/spreadsheets/d/1SX6NBoVAgQJ6U1MVXOaj8PK2l7WJ3RER9xtqwdhxkhw/edit?usp=sharing"",""ลพบุรี!J274"")"),0)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IFERROR(__xludf.DUMMYFUNCTION("IMPORTRANGE(""https://docs.google.com/spreadsheets/d/1SX6NBoVAgQJ6U1MVXOaj8PK2l7WJ3RER9xtqwdhxkhw/edit?usp=sharing"",""ลพบุรี!I275"")"),1000)</f>
        <v>1000</v>
      </c>
      <c r="J380" s="371">
        <f ca="1">IFERROR(__xludf.DUMMYFUNCTION("IMPORTRANGE(""https://docs.google.com/spreadsheets/d/1SX6NBoVAgQJ6U1MVXOaj8PK2l7WJ3RER9xtqwdhxkhw/edit?usp=sharing"",""ลพบุรี!J275"")"),0)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IFERROR(__xludf.DUMMYFUNCTION("IMPORTRANGE(""https://docs.google.com/spreadsheets/d/1SX6NBoVAgQJ6U1MVXOaj8PK2l7WJ3RER9xtqwdhxkhw/edit?usp=sharing"",""ลพบุรี!L275"")"),1028520)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IFERROR(__xludf.DUMMYFUNCTION("IMPORTRANGE(""https://docs.google.com/spreadsheets/d/1SX6NBoVAgQJ6U1MVXOaj8PK2l7WJ3RER9xtqwdhxkhw/edit?usp=sharing"",""ลพบุรี!M275"")"),259445)</f>
        <v>259445</v>
      </c>
      <c r="O380" s="373">
        <f ca="1">+IF(L380&gt;0,N380*100/L380,0)</f>
        <v>25.225080698479367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IFERROR(__xludf.DUMMYFUNCTION("IMPORTRANGE(""https://docs.google.com/spreadsheets/d/1SX6NBoVAgQJ6U1MVXOaj8PK2l7WJ3RER9xtqwdhxkhw/edit?usp=sharing"",""ลพบุรี!I276"")"),100)</f>
        <v>100</v>
      </c>
      <c r="J381" s="371">
        <f ca="1">IFERROR(__xludf.DUMMYFUNCTION("IMPORTRANGE(""https://docs.google.com/spreadsheets/d/1SX6NBoVAgQJ6U1MVXOaj8PK2l7WJ3RER9xtqwdhxkhw/edit?usp=sharing"",""ลพบุรี!J276"")"),100)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IFERROR(__xludf.DUMMYFUNCTION("IMPORTRANGE(""https://docs.google.com/spreadsheets/d/1SX6NBoVAgQJ6U1MVXOaj8PK2l7WJ3RER9xtqwdhxkhw/edit?usp=sharing"",""ลพบุรี!L277"")"),0)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IFERROR(__xludf.DUMMYFUNCTION("IMPORTRANGE(""https://docs.google.com/spreadsheets/d/1SX6NBoVAgQJ6U1MVXOaj8PK2l7WJ3RER9xtqwdhxkhw/edit?usp=sharing"",""ลพบุรี!M277"")"),0)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IFERROR(__xludf.DUMMYFUNCTION("IMPORTRANGE(""https://docs.google.com/spreadsheets/d/1SX6NBoVAgQJ6U1MVXOaj8PK2l7WJ3RER9xtqwdhxkhw/edit?usp=sharing"",""ลพบุรี!L278"")"),1028520)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IFERROR(__xludf.DUMMYFUNCTION("IMPORTRANGE(""https://docs.google.com/spreadsheets/d/1SX6NBoVAgQJ6U1MVXOaj8PK2l7WJ3RER9xtqwdhxkhw/edit?usp=sharing"",""ลพบุรี!M278"")"),259445)</f>
        <v>259445</v>
      </c>
      <c r="O383" s="165">
        <f t="shared" ca="1" si="109"/>
        <v>25.225080698479367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IFERROR(__xludf.DUMMYFUNCTION("IMPORTRANGE(""https://docs.google.com/spreadsheets/d/1SX6NBoVAgQJ6U1MVXOaj8PK2l7WJ3RER9xtqwdhxkhw/edit?usp=sharing"",""ลพบุรี!L279"")"),0)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IFERROR(__xludf.DUMMYFUNCTION("IMPORTRANGE(""https://docs.google.com/spreadsheets/d/1SX6NBoVAgQJ6U1MVXOaj8PK2l7WJ3RER9xtqwdhxkhw/edit?usp=sharing"",""ลพบุรี!M279"")"),0)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IFERROR(__xludf.DUMMYFUNCTION("IMPORTRANGE(""https://docs.google.com/spreadsheets/d/1SX6NBoVAgQJ6U1MVXOaj8PK2l7WJ3RER9xtqwdhxkhw/edit?usp=sharing"",""ลพบุรี!L280"")"),1028520)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IFERROR(__xludf.DUMMYFUNCTION("IMPORTRANGE(""https://docs.google.com/spreadsheets/d/1SX6NBoVAgQJ6U1MVXOaj8PK2l7WJ3RER9xtqwdhxkhw/edit?usp=sharing"",""ลพบุรี!M280"")"),259445)</f>
        <v>259445</v>
      </c>
      <c r="O385" s="169">
        <f t="shared" ca="1" si="109"/>
        <v>25.225080698479367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IFERROR(__xludf.DUMMYFUNCTION("IMPORTRANGE(""https://docs.google.com/spreadsheets/d/1SX6NBoVAgQJ6U1MVXOaj8PK2l7WJ3RER9xtqwdhxkhw/edit?usp=sharing"",""ลพบุรี!M281"")"),197500)</f>
        <v>197500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IFERROR(__xludf.DUMMYFUNCTION("IMPORTRANGE(""https://docs.google.com/spreadsheets/d/1SX6NBoVAgQJ6U1MVXOaj8PK2l7WJ3RER9xtqwdhxkhw/edit?usp=sharing"",""ลพบุรี!M282"")"),0)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IFERROR(__xludf.DUMMYFUNCTION("IMPORTRANGE(""https://docs.google.com/spreadsheets/d/1SX6NBoVAgQJ6U1MVXOaj8PK2l7WJ3RER9xtqwdhxkhw/edit?usp=sharing"",""ลพบุรี!M283"")"),41515)</f>
        <v>41515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IFERROR(__xludf.DUMMYFUNCTION("IMPORTRANGE(""https://docs.google.com/spreadsheets/d/1SX6NBoVAgQJ6U1MVXOaj8PK2l7WJ3RER9xtqwdhxkhw/edit?usp=sharing"",""ลพบุรี!M284"")"),20430)</f>
        <v>20430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IFERROR(__xludf.DUMMYFUNCTION("IMPORTRANGE(""https://docs.google.com/spreadsheets/d/1SX6NBoVAgQJ6U1MVXOaj8PK2l7WJ3RER9xtqwdhxkhw/edit?usp=sharing"",""ลพบุรี!J286"")"),0)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IFERROR(__xludf.DUMMYFUNCTION("IMPORTRANGE(""https://docs.google.com/spreadsheets/d/1SX6NBoVAgQJ6U1MVXOaj8PK2l7WJ3RER9xtqwdhxkhw/edit?usp=sharing"",""ลพบุรี!J287"")"),1)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IFERROR(__xludf.DUMMYFUNCTION("IMPORTRANGE(""https://docs.google.com/spreadsheets/d/1SX6NBoVAgQJ6U1MVXOaj8PK2l7WJ3RER9xtqwdhxkhw/edit?usp=sharing"",""ลพบุรี!J288"")"),1)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IFERROR(__xludf.DUMMYFUNCTION("IMPORTRANGE(""https://docs.google.com/spreadsheets/d/1SX6NBoVAgQJ6U1MVXOaj8PK2l7WJ3RER9xtqwdhxkhw/edit?usp=sharing"",""ลพบุรี!J289"")"),1)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IFERROR(__xludf.DUMMYFUNCTION("IMPORTRANGE(""https://docs.google.com/spreadsheets/d/1SX6NBoVAgQJ6U1MVXOaj8PK2l7WJ3RER9xtqwdhxkhw/edit?usp=sharing"",""ลพบุรี!I291"")"),100)</f>
        <v>100</v>
      </c>
      <c r="J396" s="198">
        <f ca="1">IFERROR(__xludf.DUMMYFUNCTION("IMPORTRANGE(""https://docs.google.com/spreadsheets/d/1SX6NBoVAgQJ6U1MVXOaj8PK2l7WJ3RER9xtqwdhxkhw/edit?usp=sharing"",""ลพบุรี!J291"")"),100)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IFERROR(__xludf.DUMMYFUNCTION("IMPORTRANGE(""https://docs.google.com/spreadsheets/d/1SX6NBoVAgQJ6U1MVXOaj8PK2l7WJ3RER9xtqwdhxkhw/edit?usp=sharing"",""ลพบุรี!I292"")"),1000)</f>
        <v>1000</v>
      </c>
      <c r="J397" s="198">
        <f ca="1">IFERROR(__xludf.DUMMYFUNCTION("IMPORTRANGE(""https://docs.google.com/spreadsheets/d/1SX6NBoVAgQJ6U1MVXOaj8PK2l7WJ3RER9xtqwdhxkhw/edit?usp=sharing"",""ลพบุรี!J292"")"),0)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IFERROR(__xludf.DUMMYFUNCTION("IMPORTRANGE(""https://docs.google.com/spreadsheets/d/1SX6NBoVAgQJ6U1MVXOaj8PK2l7WJ3RER9xtqwdhxkhw/edit?usp=sharing"",""ลพบุรี!I293"")"),100)</f>
        <v>100</v>
      </c>
      <c r="J398" s="198">
        <f ca="1">IFERROR(__xludf.DUMMYFUNCTION("IMPORTRANGE(""https://docs.google.com/spreadsheets/d/1SX6NBoVAgQJ6U1MVXOaj8PK2l7WJ3RER9xtqwdhxkhw/edit?usp=sharing"",""ลพบุรี!J293"")"),0)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IFERROR(__xludf.DUMMYFUNCTION("IMPORTRANGE(""https://docs.google.com/spreadsheets/d/1SX6NBoVAgQJ6U1MVXOaj8PK2l7WJ3RER9xtqwdhxkhw/edit?usp=sharing"",""ลพบุรี!J294"")"),1)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IFERROR(__xludf.DUMMYFUNCTION("IMPORTRANGE(""https://docs.google.com/spreadsheets/d/1SX6NBoVAgQJ6U1MVXOaj8PK2l7WJ3RER9xtqwdhxkhw/edit?usp=sharing"",""ลพบุรี!J295"")"),0)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IFERROR(__xludf.DUMMYFUNCTION("IMPORTRANGE(""https://docs.google.com/spreadsheets/d/1SX6NBoVAgQJ6U1MVXOaj8PK2l7WJ3RER9xtqwdhxkhw/edit?usp=sharing"",""ลพบุรี!I296"")"),150)</f>
        <v>150</v>
      </c>
      <c r="J401" s="371">
        <f ca="1">IFERROR(__xludf.DUMMYFUNCTION("IMPORTRANGE(""https://docs.google.com/spreadsheets/d/1SX6NBoVAgQJ6U1MVXOaj8PK2l7WJ3RER9xtqwdhxkhw/edit?usp=sharing"",""ลพบุรี!J296"")"),150)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IFERROR(__xludf.DUMMYFUNCTION("IMPORTRANGE(""https://docs.google.com/spreadsheets/d/1SX6NBoVAgQJ6U1MVXOaj8PK2l7WJ3RER9xtqwdhxkhw/edit?usp=sharing"",""ลพบุรี!L296"")"),172800)</f>
        <v>172800</v>
      </c>
      <c r="M401" s="373"/>
      <c r="N401" s="373">
        <f ca="1">IFERROR(__xludf.DUMMYFUNCTION("IMPORTRANGE(""https://docs.google.com/spreadsheets/d/1SX6NBoVAgQJ6U1MVXOaj8PK2l7WJ3RER9xtqwdhxkhw/edit?usp=sharing"",""ลพบุรี!M296"")"),150260)</f>
        <v>150260</v>
      </c>
      <c r="O401" s="373">
        <f ca="1">+IF(L401&gt;0,N401*100/L401,0)</f>
        <v>86.956018518518519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IFERROR(__xludf.DUMMYFUNCTION("IMPORTRANGE(""https://docs.google.com/spreadsheets/d/1SX6NBoVAgQJ6U1MVXOaj8PK2l7WJ3RER9xtqwdhxkhw/edit?usp=sharing"",""ลพบุรี!I297"")"),50)</f>
        <v>50</v>
      </c>
      <c r="J402" s="371">
        <f ca="1">IFERROR(__xludf.DUMMYFUNCTION("IMPORTRANGE(""https://docs.google.com/spreadsheets/d/1SX6NBoVAgQJ6U1MVXOaj8PK2l7WJ3RER9xtqwdhxkhw/edit?usp=sharing"",""ลพบุรี!J297"")"),50)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IFERROR(__xludf.DUMMYFUNCTION("IMPORTRANGE(""https://docs.google.com/spreadsheets/d/1SX6NBoVAgQJ6U1MVXOaj8PK2l7WJ3RER9xtqwdhxkhw/edit?usp=sharing"",""ลพบุรี!L298"")"),0)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IFERROR(__xludf.DUMMYFUNCTION("IMPORTRANGE(""https://docs.google.com/spreadsheets/d/1SX6NBoVAgQJ6U1MVXOaj8PK2l7WJ3RER9xtqwdhxkhw/edit?usp=sharing"",""ลพบุรี!M298"")"),0)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IFERROR(__xludf.DUMMYFUNCTION("IMPORTRANGE(""https://docs.google.com/spreadsheets/d/1SX6NBoVAgQJ6U1MVXOaj8PK2l7WJ3RER9xtqwdhxkhw/edit?usp=sharing"",""ลพบุรี!L299"")"),172800)</f>
        <v>172800</v>
      </c>
      <c r="M404" s="165"/>
      <c r="N404" s="169">
        <f ca="1">IFERROR(__xludf.DUMMYFUNCTION("IMPORTRANGE(""https://docs.google.com/spreadsheets/d/1SX6NBoVAgQJ6U1MVXOaj8PK2l7WJ3RER9xtqwdhxkhw/edit?usp=sharing"",""ลพบุรี!M299"")"),150260)</f>
        <v>150260</v>
      </c>
      <c r="O404" s="169">
        <f t="shared" ca="1" si="112"/>
        <v>86.956018518518519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IFERROR(__xludf.DUMMYFUNCTION("IMPORTRANGE(""https://docs.google.com/spreadsheets/d/1SX6NBoVAgQJ6U1MVXOaj8PK2l7WJ3RER9xtqwdhxkhw/edit?usp=sharing"",""ลพบุรี!L300"")"),0)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IFERROR(__xludf.DUMMYFUNCTION("IMPORTRANGE(""https://docs.google.com/spreadsheets/d/1SX6NBoVAgQJ6U1MVXOaj8PK2l7WJ3RER9xtqwdhxkhw/edit?usp=sharing"",""ลพบุรี!M300"")"),0)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IFERROR(__xludf.DUMMYFUNCTION("IMPORTRANGE(""https://docs.google.com/spreadsheets/d/1SX6NBoVAgQJ6U1MVXOaj8PK2l7WJ3RER9xtqwdhxkhw/edit?usp=sharing"",""ลพบุรี!L301"")"),172800)</f>
        <v>172800</v>
      </c>
      <c r="M406" s="169"/>
      <c r="N406" s="169">
        <f ca="1">IFERROR(__xludf.DUMMYFUNCTION("IMPORTRANGE(""https://docs.google.com/spreadsheets/d/1SX6NBoVAgQJ6U1MVXOaj8PK2l7WJ3RER9xtqwdhxkhw/edit?usp=sharing"",""ลพบุรี!M301"")"),150260)</f>
        <v>150260</v>
      </c>
      <c r="O406" s="169">
        <f t="shared" ca="1" si="112"/>
        <v>86.956018518518519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IFERROR(__xludf.DUMMYFUNCTION("IMPORTRANGE(""https://docs.google.com/spreadsheets/d/1SX6NBoVAgQJ6U1MVXOaj8PK2l7WJ3RER9xtqwdhxkhw/edit?usp=sharing"",""ลพบุรี!M302"")"),106900)</f>
        <v>106900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IFERROR(__xludf.DUMMYFUNCTION("IMPORTRANGE(""https://docs.google.com/spreadsheets/d/1SX6NBoVAgQJ6U1MVXOaj8PK2l7WJ3RER9xtqwdhxkhw/edit?usp=sharing"",""ลพบุรี!M303"")"),36000)</f>
        <v>36000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IFERROR(__xludf.DUMMYFUNCTION("IMPORTRANGE(""https://docs.google.com/spreadsheets/d/1SX6NBoVAgQJ6U1MVXOaj8PK2l7WJ3RER9xtqwdhxkhw/edit?usp=sharing"",""ลพบุรี!M304"")"),0)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IFERROR(__xludf.DUMMYFUNCTION("IMPORTRANGE(""https://docs.google.com/spreadsheets/d/1SX6NBoVAgQJ6U1MVXOaj8PK2l7WJ3RER9xtqwdhxkhw/edit?usp=sharing"",""ลพบุรี!M305"")"),7360)</f>
        <v>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IFERROR(__xludf.DUMMYFUNCTION("IMPORTRANGE(""https://docs.google.com/spreadsheets/d/1SX6NBoVAgQJ6U1MVXOaj8PK2l7WJ3RER9xtqwdhxkhw/edit?usp=sharing"",""ลพบุรี!J307"")"),0)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IFERROR(__xludf.DUMMYFUNCTION("IMPORTRANGE(""https://docs.google.com/spreadsheets/d/1SX6NBoVAgQJ6U1MVXOaj8PK2l7WJ3RER9xtqwdhxkhw/edit?usp=sharing"",""ลพบุรี!J308"")"),1)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IFERROR(__xludf.DUMMYFUNCTION("IMPORTRANGE(""https://docs.google.com/spreadsheets/d/1SX6NBoVAgQJ6U1MVXOaj8PK2l7WJ3RER9xtqwdhxkhw/edit?usp=sharing"",""ลพบุรี!J309"")"),1)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IFERROR(__xludf.DUMMYFUNCTION("IMPORTRANGE(""https://docs.google.com/spreadsheets/d/1SX6NBoVAgQJ6U1MVXOaj8PK2l7WJ3RER9xtqwdhxkhw/edit?usp=sharing"",""ลพบุรี!J310"")"),1)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IFERROR(__xludf.DUMMYFUNCTION("IMPORTRANGE(""https://docs.google.com/spreadsheets/d/1SX6NBoVAgQJ6U1MVXOaj8PK2l7WJ3RER9xtqwdhxkhw/edit?usp=sharing"",""ลพบุรี!I311"")"),50)</f>
        <v>50</v>
      </c>
      <c r="J416" s="201">
        <f ca="1">IFERROR(__xludf.DUMMYFUNCTION("IMPORTRANGE(""https://docs.google.com/spreadsheets/d/1SX6NBoVAgQJ6U1MVXOaj8PK2l7WJ3RER9xtqwdhxkhw/edit?usp=sharing"",""ลพบุรี!J311"")"),50)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IFERROR(__xludf.DUMMYFUNCTION("IMPORTRANGE(""https://docs.google.com/spreadsheets/d/1SX6NBoVAgQJ6U1MVXOaj8PK2l7WJ3RER9xtqwdhxkhw/edit?usp=sharing"",""ลพบุรี!I312"")"),10)</f>
        <v>10</v>
      </c>
      <c r="J417" s="392">
        <f ca="1">IFERROR(__xludf.DUMMYFUNCTION("IMPORTRANGE(""https://docs.google.com/spreadsheets/d/1SX6NBoVAgQJ6U1MVXOaj8PK2l7WJ3RER9xtqwdhxkhw/edit?usp=sharing"",""ลพบุรี!J312"")"),10)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IFERROR(__xludf.DUMMYFUNCTION("IMPORTRANGE(""https://docs.google.com/spreadsheets/d/1SX6NBoVAgQJ6U1MVXOaj8PK2l7WJ3RER9xtqwdhxkhw/edit?usp=sharing"",""ลพบุรี!I313"")"),30)</f>
        <v>30</v>
      </c>
      <c r="J418" s="393">
        <f ca="1">IFERROR(__xludf.DUMMYFUNCTION("IMPORTRANGE(""https://docs.google.com/spreadsheets/d/1SX6NBoVAgQJ6U1MVXOaj8PK2l7WJ3RER9xtqwdhxkhw/edit?usp=sharing"",""ลพบุรี!J313"")"),30)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IFERROR(__xludf.DUMMYFUNCTION("IMPORTRANGE(""https://docs.google.com/spreadsheets/d/1SX6NBoVAgQJ6U1MVXOaj8PK2l7WJ3RER9xtqwdhxkhw/edit?usp=sharing"",""ลพบุรี!I314"")"),10)</f>
        <v>10</v>
      </c>
      <c r="J419" s="394">
        <f ca="1">IFERROR(__xludf.DUMMYFUNCTION("IMPORTRANGE(""https://docs.google.com/spreadsheets/d/1SX6NBoVAgQJ6U1MVXOaj8PK2l7WJ3RER9xtqwdhxkhw/edit?usp=sharing"",""ลพบุรี!J314"")"),10)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IFERROR(__xludf.DUMMYFUNCTION("IMPORTRANGE(""https://docs.google.com/spreadsheets/d/1SX6NBoVAgQJ6U1MVXOaj8PK2l7WJ3RER9xtqwdhxkhw/edit?usp=sharing"",""ลพบุรี!I315"")"),10)</f>
        <v>10</v>
      </c>
      <c r="J420" s="394">
        <f ca="1">IFERROR(__xludf.DUMMYFUNCTION("IMPORTRANGE(""https://docs.google.com/spreadsheets/d/1SX6NBoVAgQJ6U1MVXOaj8PK2l7WJ3RER9xtqwdhxkhw/edit?usp=sharing"",""ลพบุรี!J315"")"),10)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IFERROR(__xludf.DUMMYFUNCTION("IMPORTRANGE(""https://docs.google.com/spreadsheets/d/1SX6NBoVAgQJ6U1MVXOaj8PK2l7WJ3RER9xtqwdhxkhw/edit?usp=sharing"",""ลพบุรี!I316"")"),30)</f>
        <v>30</v>
      </c>
      <c r="J421" s="392">
        <f ca="1">IFERROR(__xludf.DUMMYFUNCTION("IMPORTRANGE(""https://docs.google.com/spreadsheets/d/1SX6NBoVAgQJ6U1MVXOaj8PK2l7WJ3RER9xtqwdhxkhw/edit?usp=sharing"",""ลพบุรี!J316"")"),30)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IFERROR(__xludf.DUMMYFUNCTION("IMPORTRANGE(""https://docs.google.com/spreadsheets/d/1SX6NBoVAgQJ6U1MVXOaj8PK2l7WJ3RER9xtqwdhxkhw/edit?usp=sharing"",""ลพบุรี!I317"")"),90)</f>
        <v>90</v>
      </c>
      <c r="J422" s="393">
        <f ca="1">IFERROR(__xludf.DUMMYFUNCTION("IMPORTRANGE(""https://docs.google.com/spreadsheets/d/1SX6NBoVAgQJ6U1MVXOaj8PK2l7WJ3RER9xtqwdhxkhw/edit?usp=sharing"",""ลพบุรี!J317"")"),90)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IFERROR(__xludf.DUMMYFUNCTION("IMPORTRANGE(""https://docs.google.com/spreadsheets/d/1SX6NBoVAgQJ6U1MVXOaj8PK2l7WJ3RER9xtqwdhxkhw/edit?usp=sharing"",""ลพบุรี!I318"")"),30)</f>
        <v>30</v>
      </c>
      <c r="J423" s="394">
        <f ca="1">IFERROR(__xludf.DUMMYFUNCTION("IMPORTRANGE(""https://docs.google.com/spreadsheets/d/1SX6NBoVAgQJ6U1MVXOaj8PK2l7WJ3RER9xtqwdhxkhw/edit?usp=sharing"",""ลพบุรี!J318"")"),30)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IFERROR(__xludf.DUMMYFUNCTION("IMPORTRANGE(""https://docs.google.com/spreadsheets/d/1SX6NBoVAgQJ6U1MVXOaj8PK2l7WJ3RER9xtqwdhxkhw/edit?usp=sharing"",""ลพบุรี!I319"")"),30)</f>
        <v>30</v>
      </c>
      <c r="J424" s="394">
        <f ca="1">IFERROR(__xludf.DUMMYFUNCTION("IMPORTRANGE(""https://docs.google.com/spreadsheets/d/1SX6NBoVAgQJ6U1MVXOaj8PK2l7WJ3RER9xtqwdhxkhw/edit?usp=sharing"",""ลพบุรี!J319"")"),30)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IFERROR(__xludf.DUMMYFUNCTION("IMPORTRANGE(""https://docs.google.com/spreadsheets/d/1SX6NBoVAgQJ6U1MVXOaj8PK2l7WJ3RER9xtqwdhxkhw/edit?usp=sharing"",""ลพบุรี!I320"")"),30)</f>
        <v>30</v>
      </c>
      <c r="J425" s="394">
        <f ca="1">IFERROR(__xludf.DUMMYFUNCTION("IMPORTRANGE(""https://docs.google.com/spreadsheets/d/1SX6NBoVAgQJ6U1MVXOaj8PK2l7WJ3RER9xtqwdhxkhw/edit?usp=sharing"",""ลพบุรี!J320"")"),30)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IFERROR(__xludf.DUMMYFUNCTION("IMPORTRANGE(""https://docs.google.com/spreadsheets/d/1SX6NBoVAgQJ6U1MVXOaj8PK2l7WJ3RER9xtqwdhxkhw/edit?usp=sharing"",""ลพบุรี!I321"")"),10)</f>
        <v>10</v>
      </c>
      <c r="J426" s="392">
        <f ca="1">IFERROR(__xludf.DUMMYFUNCTION("IMPORTRANGE(""https://docs.google.com/spreadsheets/d/1SX6NBoVAgQJ6U1MVXOaj8PK2l7WJ3RER9xtqwdhxkhw/edit?usp=sharing"",""ลพบุรี!J321"")"),10)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IFERROR(__xludf.DUMMYFUNCTION("IMPORTRANGE(""https://docs.google.com/spreadsheets/d/1SX6NBoVAgQJ6U1MVXOaj8PK2l7WJ3RER9xtqwdhxkhw/edit?usp=sharing"",""ลพบุรี!I322"")"),30)</f>
        <v>30</v>
      </c>
      <c r="J427" s="393">
        <f ca="1">IFERROR(__xludf.DUMMYFUNCTION("IMPORTRANGE(""https://docs.google.com/spreadsheets/d/1SX6NBoVAgQJ6U1MVXOaj8PK2l7WJ3RER9xtqwdhxkhw/edit?usp=sharing"",""ลพบุรี!J322"")"),30)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IFERROR(__xludf.DUMMYFUNCTION("IMPORTRANGE(""https://docs.google.com/spreadsheets/d/1SX6NBoVAgQJ6U1MVXOaj8PK2l7WJ3RER9xtqwdhxkhw/edit?usp=sharing"",""ลพบุรี!I323"")"),10)</f>
        <v>10</v>
      </c>
      <c r="J428" s="394">
        <f ca="1">IFERROR(__xludf.DUMMYFUNCTION("IMPORTRANGE(""https://docs.google.com/spreadsheets/d/1SX6NBoVAgQJ6U1MVXOaj8PK2l7WJ3RER9xtqwdhxkhw/edit?usp=sharing"",""ลพบุรี!J323"")"),10)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IFERROR(__xludf.DUMMYFUNCTION("IMPORTRANGE(""https://docs.google.com/spreadsheets/d/1SX6NBoVAgQJ6U1MVXOaj8PK2l7WJ3RER9xtqwdhxkhw/edit?usp=sharing"",""ลพบุรี!I324"")"),10)</f>
        <v>10</v>
      </c>
      <c r="J429" s="394">
        <f ca="1">IFERROR(__xludf.DUMMYFUNCTION("IMPORTRANGE(""https://docs.google.com/spreadsheets/d/1SX6NBoVAgQJ6U1MVXOaj8PK2l7WJ3RER9xtqwdhxkhw/edit?usp=sharing"",""ลพบุรี!J324"")"),10)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IFERROR(__xludf.DUMMYFUNCTION("IMPORTRANGE(""https://docs.google.com/spreadsheets/d/1SX6NBoVAgQJ6U1MVXOaj8PK2l7WJ3RER9xtqwdhxkhw/edit?usp=sharing"",""ลพบุรี!I325"")"),40)</f>
        <v>40</v>
      </c>
      <c r="J430" s="392">
        <f ca="1">IFERROR(__xludf.DUMMYFUNCTION("IMPORTRANGE(""https://docs.google.com/spreadsheets/d/1SX6NBoVAgQJ6U1MVXOaj8PK2l7WJ3RER9xtqwdhxkhw/edit?usp=sharing"",""ลพบุรี!J325"")"),40)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IFERROR(__xludf.DUMMYFUNCTION("IMPORTRANGE(""https://docs.google.com/spreadsheets/d/1SX6NBoVAgQJ6U1MVXOaj8PK2l7WJ3RER9xtqwdhxkhw/edit?usp=sharing"",""ลพบุรี!I326"")"),10)</f>
        <v>10</v>
      </c>
      <c r="J431" s="394">
        <f ca="1">IFERROR(__xludf.DUMMYFUNCTION("IMPORTRANGE(""https://docs.google.com/spreadsheets/d/1SX6NBoVAgQJ6U1MVXOaj8PK2l7WJ3RER9xtqwdhxkhw/edit?usp=sharing"",""ลพบุรี!J326"")"),10)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IFERROR(__xludf.DUMMYFUNCTION("IMPORTRANGE(""https://docs.google.com/spreadsheets/d/1SX6NBoVAgQJ6U1MVXOaj8PK2l7WJ3RER9xtqwdhxkhw/edit?usp=sharing"",""ลพบุรี!I327"")"),30)</f>
        <v>30</v>
      </c>
      <c r="J432" s="394">
        <f ca="1">IFERROR(__xludf.DUMMYFUNCTION("IMPORTRANGE(""https://docs.google.com/spreadsheets/d/1SX6NBoVAgQJ6U1MVXOaj8PK2l7WJ3RER9xtqwdhxkhw/edit?usp=sharing"",""ลพบุรี!J327"")"),30)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IFERROR(__xludf.DUMMYFUNCTION("IMPORTRANGE(""https://docs.google.com/spreadsheets/d/1SX6NBoVAgQJ6U1MVXOaj8PK2l7WJ3RER9xtqwdhxkhw/edit?usp=sharing"",""ลพบุรี!J328"")"),1)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IFERROR(__xludf.DUMMYFUNCTION("IMPORTRANGE(""https://docs.google.com/spreadsheets/d/1SX6NBoVAgQJ6U1MVXOaj8PK2l7WJ3RER9xtqwdhxkhw/edit?usp=sharing"",""ลพบุรี!J329"")"),0)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IFERROR(__xludf.DUMMYFUNCTION("IMPORTRANGE(""https://docs.google.com/spreadsheets/d/1SX6NBoVAgQJ6U1MVXOaj8PK2l7WJ3RER9xtqwdhxkhw/edit?usp=sharing"",""ลพบุรี!I330"")"),20)</f>
        <v>20</v>
      </c>
      <c r="J435" s="410">
        <f ca="1">IFERROR(__xludf.DUMMYFUNCTION("IMPORTRANGE(""https://docs.google.com/spreadsheets/d/1SX6NBoVAgQJ6U1MVXOaj8PK2l7WJ3RER9xtqwdhxkhw/edit?usp=sharing"",""ลพบุรี!J330"")"),20)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IFERROR(__xludf.DUMMYFUNCTION("IMPORTRANGE(""https://docs.google.com/spreadsheets/d/1SX6NBoVAgQJ6U1MVXOaj8PK2l7WJ3RER9xtqwdhxkhw/edit?usp=sharing"",""ลพบุรี!L330"")"),113400)</f>
        <v>113400</v>
      </c>
      <c r="M435" s="412"/>
      <c r="N435" s="412">
        <f ca="1">IFERROR(__xludf.DUMMYFUNCTION("IMPORTRANGE(""https://docs.google.com/spreadsheets/d/1SX6NBoVAgQJ6U1MVXOaj8PK2l7WJ3RER9xtqwdhxkhw/edit?usp=sharing"",""ลพบุรี!M330"")"),84630)</f>
        <v>84630</v>
      </c>
      <c r="O435" s="412">
        <f t="shared" ref="O435:O439" ca="1" si="114">+IF(L435&gt;0,N435*100/L435,0)</f>
        <v>74.629629629629633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IFERROR(__xludf.DUMMYFUNCTION("IMPORTRANGE(""https://docs.google.com/spreadsheets/d/1SX6NBoVAgQJ6U1MVXOaj8PK2l7WJ3RER9xtqwdhxkhw/edit?usp=sharing"",""ลพบุรี!L331"")"),0)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IFERROR(__xludf.DUMMYFUNCTION("IMPORTRANGE(""https://docs.google.com/spreadsheets/d/1SX6NBoVAgQJ6U1MVXOaj8PK2l7WJ3RER9xtqwdhxkhw/edit?usp=sharing"",""ลพบุรี!M331"")"),0)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IFERROR(__xludf.DUMMYFUNCTION("IMPORTRANGE(""https://docs.google.com/spreadsheets/d/1SX6NBoVAgQJ6U1MVXOaj8PK2l7WJ3RER9xtqwdhxkhw/edit?usp=sharing"",""ลพบุรี!L332"")"),113400)</f>
        <v>113400</v>
      </c>
      <c r="M437" s="165"/>
      <c r="N437" s="169">
        <f ca="1">IFERROR(__xludf.DUMMYFUNCTION("IMPORTRANGE(""https://docs.google.com/spreadsheets/d/1SX6NBoVAgQJ6U1MVXOaj8PK2l7WJ3RER9xtqwdhxkhw/edit?usp=sharing"",""ลพบุรี!M332"")"),84630)</f>
        <v>84630</v>
      </c>
      <c r="O437" s="169">
        <f t="shared" ca="1" si="114"/>
        <v>74.629629629629633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IFERROR(__xludf.DUMMYFUNCTION("IMPORTRANGE(""https://docs.google.com/spreadsheets/d/1SX6NBoVAgQJ6U1MVXOaj8PK2l7WJ3RER9xtqwdhxkhw/edit?usp=sharing"",""ลพบุรี!L333"")"),0)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IFERROR(__xludf.DUMMYFUNCTION("IMPORTRANGE(""https://docs.google.com/spreadsheets/d/1SX6NBoVAgQJ6U1MVXOaj8PK2l7WJ3RER9xtqwdhxkhw/edit?usp=sharing"",""ลพบุรี!M333"")"),0)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IFERROR(__xludf.DUMMYFUNCTION("IMPORTRANGE(""https://docs.google.com/spreadsheets/d/1SX6NBoVAgQJ6U1MVXOaj8PK2l7WJ3RER9xtqwdhxkhw/edit?usp=sharing"",""ลพบุรี!L334"")"),113400)</f>
        <v>113400</v>
      </c>
      <c r="M439" s="169"/>
      <c r="N439" s="169">
        <f ca="1">IFERROR(__xludf.DUMMYFUNCTION("IMPORTRANGE(""https://docs.google.com/spreadsheets/d/1SX6NBoVAgQJ6U1MVXOaj8PK2l7WJ3RER9xtqwdhxkhw/edit?usp=sharing"",""ลพบุรี!M334"")"),84630)</f>
        <v>84630</v>
      </c>
      <c r="O439" s="169">
        <f t="shared" ca="1" si="114"/>
        <v>74.629629629629633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IFERROR(__xludf.DUMMYFUNCTION("IMPORTRANGE(""https://docs.google.com/spreadsheets/d/1SX6NBoVAgQJ6U1MVXOaj8PK2l7WJ3RER9xtqwdhxkhw/edit?usp=sharing"",""ลพบุรี!M335"")"),44200)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IFERROR(__xludf.DUMMYFUNCTION("IMPORTRANGE(""https://docs.google.com/spreadsheets/d/1SX6NBoVAgQJ6U1MVXOaj8PK2l7WJ3RER9xtqwdhxkhw/edit?usp=sharing"",""ลพบุรี!M336"")"),0)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IFERROR(__xludf.DUMMYFUNCTION("IMPORTRANGE(""https://docs.google.com/spreadsheets/d/1SX6NBoVAgQJ6U1MVXOaj8PK2l7WJ3RER9xtqwdhxkhw/edit?usp=sharing"",""ลพบุรี!M337"")"),0)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IFERROR(__xludf.DUMMYFUNCTION("IMPORTRANGE(""https://docs.google.com/spreadsheets/d/1SX6NBoVAgQJ6U1MVXOaj8PK2l7WJ3RER9xtqwdhxkhw/edit?usp=sharing"",""ลพบุรี!M338"")"),40430)</f>
        <v>40430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IFERROR(__xludf.DUMMYFUNCTION("IMPORTRANGE(""https://docs.google.com/spreadsheets/d/1SX6NBoVAgQJ6U1MVXOaj8PK2l7WJ3RER9xtqwdhxkhw/edit?usp=sharing"",""ลพบุรี!J340"")"),0)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IFERROR(__xludf.DUMMYFUNCTION("IMPORTRANGE(""https://docs.google.com/spreadsheets/d/1SX6NBoVAgQJ6U1MVXOaj8PK2l7WJ3RER9xtqwdhxkhw/edit?usp=sharing"",""ลพบุรี!J341"")"),0)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IFERROR(__xludf.DUMMYFUNCTION("IMPORTRANGE(""https://docs.google.com/spreadsheets/d/1SX6NBoVAgQJ6U1MVXOaj8PK2l7WJ3RER9xtqwdhxkhw/edit?usp=sharing"",""ลพบุรี!J342"")"),0)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IFERROR(__xludf.DUMMYFUNCTION("IMPORTRANGE(""https://docs.google.com/spreadsheets/d/1SX6NBoVAgQJ6U1MVXOaj8PK2l7WJ3RER9xtqwdhxkhw/edit?usp=sharing"",""ลพบุรี!J343"")"),0)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IFERROR(__xludf.DUMMYFUNCTION("IMPORTRANGE(""https://docs.google.com/spreadsheets/d/1SX6NBoVAgQJ6U1MVXOaj8PK2l7WJ3RER9xtqwdhxkhw/edit?usp=sharing"",""ลพบุรี!I344"")"),20)</f>
        <v>20</v>
      </c>
      <c r="J449" s="201">
        <f ca="1">IFERROR(__xludf.DUMMYFUNCTION("IMPORTRANGE(""https://docs.google.com/spreadsheets/d/1SX6NBoVAgQJ6U1MVXOaj8PK2l7WJ3RER9xtqwdhxkhw/edit?usp=sharing"",""ลพบุรี!J344"")"),20)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IFERROR(__xludf.DUMMYFUNCTION("IMPORTRANGE(""https://docs.google.com/spreadsheets/d/1SX6NBoVAgQJ6U1MVXOaj8PK2l7WJ3RER9xtqwdhxkhw/edit?usp=sharing"",""ลพบุรี!I345"")"),20)</f>
        <v>20</v>
      </c>
      <c r="J450" s="189">
        <f ca="1">IFERROR(__xludf.DUMMYFUNCTION("IMPORTRANGE(""https://docs.google.com/spreadsheets/d/1SX6NBoVAgQJ6U1MVXOaj8PK2l7WJ3RER9xtqwdhxkhw/edit?usp=sharing"",""ลพบุรี!J345"")"),20)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IFERROR(__xludf.DUMMYFUNCTION("IMPORTRANGE(""https://docs.google.com/spreadsheets/d/1SX6NBoVAgQJ6U1MVXOaj8PK2l7WJ3RER9xtqwdhxkhw/edit?usp=sharing"",""ลพบุรี!I346"")"),0)</f>
        <v>0</v>
      </c>
      <c r="J451" s="188">
        <f ca="1">IFERROR(__xludf.DUMMYFUNCTION("IMPORTRANGE(""https://docs.google.com/spreadsheets/d/1SX6NBoVAgQJ6U1MVXOaj8PK2l7WJ3RER9xtqwdhxkhw/edit?usp=sharing"",""ลพบุรี!J346"")"),0)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IFERROR(__xludf.DUMMYFUNCTION("IMPORTRANGE(""https://docs.google.com/spreadsheets/d/1SX6NBoVAgQJ6U1MVXOaj8PK2l7WJ3RER9xtqwdhxkhw/edit?usp=sharing"",""ลพบุรี!I347"")"),0)</f>
        <v>0</v>
      </c>
      <c r="J452" s="188">
        <f ca="1">IFERROR(__xludf.DUMMYFUNCTION("IMPORTRANGE(""https://docs.google.com/spreadsheets/d/1SX6NBoVAgQJ6U1MVXOaj8PK2l7WJ3RER9xtqwdhxkhw/edit?usp=sharing"",""ลพบุรี!J347"")"),0)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IFERROR(__xludf.DUMMYFUNCTION("IMPORTRANGE(""https://docs.google.com/spreadsheets/d/1SX6NBoVAgQJ6U1MVXOaj8PK2l7WJ3RER9xtqwdhxkhw/edit?usp=sharing"",""ลพบุรี!J348"")"),1)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IFERROR(__xludf.DUMMYFUNCTION("IMPORTRANGE(""https://docs.google.com/spreadsheets/d/1SX6NBoVAgQJ6U1MVXOaj8PK2l7WJ3RER9xtqwdhxkhw/edit?usp=sharing"",""ลพบุรี!J349"")"),0)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IFERROR(__xludf.DUMMYFUNCTION("IMPORTRANGE(""https://docs.google.com/spreadsheets/d/1SX6NBoVAgQJ6U1MVXOaj8PK2l7WJ3RER9xtqwdhxkhw/edit?usp=sharing"",""ลพบุรี!I350"")"),109020)</f>
        <v>109020</v>
      </c>
      <c r="J455" s="371">
        <f ca="1">IFERROR(__xludf.DUMMYFUNCTION("IMPORTRANGE(""https://docs.google.com/spreadsheets/d/1SX6NBoVAgQJ6U1MVXOaj8PK2l7WJ3RER9xtqwdhxkhw/edit?usp=sharing"",""ลพบุรี!J350"")"),0)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IFERROR(__xludf.DUMMYFUNCTION("IMPORTRANGE(""https://docs.google.com/spreadsheets/d/1SX6NBoVAgQJ6U1MVXOaj8PK2l7WJ3RER9xtqwdhxkhw/edit?usp=sharing"",""ลพบุรี!L350"")"),794301)</f>
        <v>794301</v>
      </c>
      <c r="M455" s="373"/>
      <c r="N455" s="373">
        <f ca="1">IFERROR(__xludf.DUMMYFUNCTION("IMPORTRANGE(""https://docs.google.com/spreadsheets/d/1SX6NBoVAgQJ6U1MVXOaj8PK2l7WJ3RER9xtqwdhxkhw/edit?usp=sharing"",""ลพบุรี!M350"")"),139479.15)</f>
        <v>139479.15</v>
      </c>
      <c r="O455" s="373">
        <f t="shared" ref="O455:O459" ca="1" si="116">+IF(L455&gt;0,N455*100/L455,0)</f>
        <v>17.559986705291823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IFERROR(__xludf.DUMMYFUNCTION("IMPORTRANGE(""https://docs.google.com/spreadsheets/d/1SX6NBoVAgQJ6U1MVXOaj8PK2l7WJ3RER9xtqwdhxkhw/edit?usp=sharing"",""ลพบุรี!L351"")"),0)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IFERROR(__xludf.DUMMYFUNCTION("IMPORTRANGE(""https://docs.google.com/spreadsheets/d/1SX6NBoVAgQJ6U1MVXOaj8PK2l7WJ3RER9xtqwdhxkhw/edit?usp=sharing"",""ลพบุรี!M351"")"),0)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IFERROR(__xludf.DUMMYFUNCTION("IMPORTRANGE(""https://docs.google.com/spreadsheets/d/1SX6NBoVAgQJ6U1MVXOaj8PK2l7WJ3RER9xtqwdhxkhw/edit?usp=sharing"",""ลพบุรี!L352"")"),794301)</f>
        <v>794301</v>
      </c>
      <c r="M457" s="165"/>
      <c r="N457" s="169">
        <f ca="1">IFERROR(__xludf.DUMMYFUNCTION("IMPORTRANGE(""https://docs.google.com/spreadsheets/d/1SX6NBoVAgQJ6U1MVXOaj8PK2l7WJ3RER9xtqwdhxkhw/edit?usp=sharing"",""ลพบุรี!M352"")"),139479.15)</f>
        <v>139479.15</v>
      </c>
      <c r="O457" s="169">
        <f t="shared" ca="1" si="116"/>
        <v>17.559986705291823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IFERROR(__xludf.DUMMYFUNCTION("IMPORTRANGE(""https://docs.google.com/spreadsheets/d/1SX6NBoVAgQJ6U1MVXOaj8PK2l7WJ3RER9xtqwdhxkhw/edit?usp=sharing"",""ลพบุรี!L353"")"),0)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IFERROR(__xludf.DUMMYFUNCTION("IMPORTRANGE(""https://docs.google.com/spreadsheets/d/1SX6NBoVAgQJ6U1MVXOaj8PK2l7WJ3RER9xtqwdhxkhw/edit?usp=sharing"",""ลพบุรี!M353"")"),0)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IFERROR(__xludf.DUMMYFUNCTION("IMPORTRANGE(""https://docs.google.com/spreadsheets/d/1SX6NBoVAgQJ6U1MVXOaj8PK2l7WJ3RER9xtqwdhxkhw/edit?usp=sharing"",""ลพบุรี!L354"")"),794301)</f>
        <v>794301</v>
      </c>
      <c r="M459" s="169"/>
      <c r="N459" s="169">
        <f ca="1">IFERROR(__xludf.DUMMYFUNCTION("IMPORTRANGE(""https://docs.google.com/spreadsheets/d/1SX6NBoVAgQJ6U1MVXOaj8PK2l7WJ3RER9xtqwdhxkhw/edit?usp=sharing"",""ลพบุรี!M354"")"),139479.15)</f>
        <v>139479.15</v>
      </c>
      <c r="O459" s="169">
        <f t="shared" ca="1" si="116"/>
        <v>17.559986705291823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IFERROR(__xludf.DUMMYFUNCTION("IMPORTRANGE(""https://docs.google.com/spreadsheets/d/1SX6NBoVAgQJ6U1MVXOaj8PK2l7WJ3RER9xtqwdhxkhw/edit?usp=sharing"",""ลพบุรี!M355"")"),0)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IFERROR(__xludf.DUMMYFUNCTION("IMPORTRANGE(""https://docs.google.com/spreadsheets/d/1SX6NBoVAgQJ6U1MVXOaj8PK2l7WJ3RER9xtqwdhxkhw/edit?usp=sharing"",""ลพบุรี!M356"")"),0)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IFERROR(__xludf.DUMMYFUNCTION("IMPORTRANGE(""https://docs.google.com/spreadsheets/d/1SX6NBoVAgQJ6U1MVXOaj8PK2l7WJ3RER9xtqwdhxkhw/edit?usp=sharing"",""ลพบุรี!M357"")"),77000)</f>
        <v>77000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IFERROR(__xludf.DUMMYFUNCTION("IMPORTRANGE(""https://docs.google.com/spreadsheets/d/1SX6NBoVAgQJ6U1MVXOaj8PK2l7WJ3RER9xtqwdhxkhw/edit?usp=sharing"",""ลพบุรี!M358"")"),62479.15)</f>
        <v>62479.15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IFERROR(__xludf.DUMMYFUNCTION("IMPORTRANGE(""https://docs.google.com/spreadsheets/d/1SX6NBoVAgQJ6U1MVXOaj8PK2l7WJ3RER9xtqwdhxkhw/edit?usp=sharing"",""ลพบุรี!I359"")"),109020)</f>
        <v>109020</v>
      </c>
      <c r="J464" s="268">
        <f ca="1">IFERROR(__xludf.DUMMYFUNCTION("IMPORTRANGE(""https://docs.google.com/spreadsheets/d/1SX6NBoVAgQJ6U1MVXOaj8PK2l7WJ3RER9xtqwdhxkhw/edit?usp=sharing"",""ลพบุรี!J359"")"),0)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IFERROR(__xludf.DUMMYFUNCTION("IMPORTRANGE(""https://docs.google.com/spreadsheets/d/1SX6NBoVAgQJ6U1MVXOaj8PK2l7WJ3RER9xtqwdhxkhw/edit?usp=sharing"",""ลพบุรี!I360"")"),109020)</f>
        <v>109020</v>
      </c>
      <c r="J465" s="420">
        <f ca="1">IFERROR(__xludf.DUMMYFUNCTION("IMPORTRANGE(""https://docs.google.com/spreadsheets/d/1SX6NBoVAgQJ6U1MVXOaj8PK2l7WJ3RER9xtqwdhxkhw/edit?usp=sharing"",""ลพบุรี!J360"")"),109022)</f>
        <v>109022</v>
      </c>
      <c r="K465" s="202">
        <f t="shared" ca="1" si="117"/>
        <v>100.00183452577508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IFERROR(__xludf.DUMMYFUNCTION("IMPORTRANGE(""https://docs.google.com/spreadsheets/d/1SX6NBoVAgQJ6U1MVXOaj8PK2l7WJ3RER9xtqwdhxkhw/edit?usp=sharing"",""ลพบุรี!I361"")"),6394)</f>
        <v>6394</v>
      </c>
      <c r="J466" s="420">
        <f ca="1">IFERROR(__xludf.DUMMYFUNCTION("IMPORTRANGE(""https://docs.google.com/spreadsheets/d/1SX6NBoVAgQJ6U1MVXOaj8PK2l7WJ3RER9xtqwdhxkhw/edit?usp=sharing"",""ลพบุรี!J361"")"),6394)</f>
        <v>6394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IFERROR(__xludf.DUMMYFUNCTION("IMPORTRANGE(""https://docs.google.com/spreadsheets/d/1SX6NBoVAgQJ6U1MVXOaj8PK2l7WJ3RER9xtqwdhxkhw/edit?usp=sharing"",""ลพบุรี!I362"")"),0)</f>
        <v>0</v>
      </c>
      <c r="J467" s="189">
        <f ca="1">IFERROR(__xludf.DUMMYFUNCTION("IMPORTRANGE(""https://docs.google.com/spreadsheets/d/1SX6NBoVAgQJ6U1MVXOaj8PK2l7WJ3RER9xtqwdhxkhw/edit?usp=sharing"",""ลพบุรี!J362"")"),76932)</f>
        <v>76932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IFERROR(__xludf.DUMMYFUNCTION("IMPORTRANGE(""https://docs.google.com/spreadsheets/d/1SX6NBoVAgQJ6U1MVXOaj8PK2l7WJ3RER9xtqwdhxkhw/edit?usp=sharing"",""ลพบุรี!I363"")"),0)</f>
        <v>0</v>
      </c>
      <c r="J468" s="189">
        <f ca="1">IFERROR(__xludf.DUMMYFUNCTION("IMPORTRANGE(""https://docs.google.com/spreadsheets/d/1SX6NBoVAgQJ6U1MVXOaj8PK2l7WJ3RER9xtqwdhxkhw/edit?usp=sharing"",""ลพบุรี!J363"")"),4807)</f>
        <v>4807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IFERROR(__xludf.DUMMYFUNCTION("IMPORTRANGE(""https://docs.google.com/spreadsheets/d/1SX6NBoVAgQJ6U1MVXOaj8PK2l7WJ3RER9xtqwdhxkhw/edit?usp=sharing"",""ลพบุรี!I364"")"),0)</f>
        <v>0</v>
      </c>
      <c r="J469" s="189">
        <f ca="1">IFERROR(__xludf.DUMMYFUNCTION("IMPORTRANGE(""https://docs.google.com/spreadsheets/d/1SX6NBoVAgQJ6U1MVXOaj8PK2l7WJ3RER9xtqwdhxkhw/edit?usp=sharing"",""ลพบุรี!J364"")"),28032)</f>
        <v>28032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IFERROR(__xludf.DUMMYFUNCTION("IMPORTRANGE(""https://docs.google.com/spreadsheets/d/1SX6NBoVAgQJ6U1MVXOaj8PK2l7WJ3RER9xtqwdhxkhw/edit?usp=sharing"",""ลพบุรี!I365"")"),0)</f>
        <v>0</v>
      </c>
      <c r="J470" s="189">
        <f ca="1">IFERROR(__xludf.DUMMYFUNCTION("IMPORTRANGE(""https://docs.google.com/spreadsheets/d/1SX6NBoVAgQJ6U1MVXOaj8PK2l7WJ3RER9xtqwdhxkhw/edit?usp=sharing"",""ลพบุรี!J365"")"),1369)</f>
        <v>1369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IFERROR(__xludf.DUMMYFUNCTION("IMPORTRANGE(""https://docs.google.com/spreadsheets/d/1SX6NBoVAgQJ6U1MVXOaj8PK2l7WJ3RER9xtqwdhxkhw/edit?usp=sharing"",""ลพบุรี!I366"")"),0)</f>
        <v>0</v>
      </c>
      <c r="J471" s="189">
        <f ca="1">IFERROR(__xludf.DUMMYFUNCTION("IMPORTRANGE(""https://docs.google.com/spreadsheets/d/1SX6NBoVAgQJ6U1MVXOaj8PK2l7WJ3RER9xtqwdhxkhw/edit?usp=sharing"",""ลพบุรี!J366"")"),4058)</f>
        <v>4058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IFERROR(__xludf.DUMMYFUNCTION("IMPORTRANGE(""https://docs.google.com/spreadsheets/d/1SX6NBoVAgQJ6U1MVXOaj8PK2l7WJ3RER9xtqwdhxkhw/edit?usp=sharing"",""ลพบุรี!I367"")"),0)</f>
        <v>0</v>
      </c>
      <c r="J472" s="189">
        <f ca="1">IFERROR(__xludf.DUMMYFUNCTION("IMPORTRANGE(""https://docs.google.com/spreadsheets/d/1SX6NBoVAgQJ6U1MVXOaj8PK2l7WJ3RER9xtqwdhxkhw/edit?usp=sharing"",""ลพบุรี!J367"")"),218)</f>
        <v>218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IFERROR(__xludf.DUMMYFUNCTION("IMPORTRANGE(""https://docs.google.com/spreadsheets/d/1SX6NBoVAgQJ6U1MVXOaj8PK2l7WJ3RER9xtqwdhxkhw/edit?usp=sharing"",""ลพบุรี!I368"")"),109020)</f>
        <v>109020</v>
      </c>
      <c r="J473" s="420">
        <f ca="1">IFERROR(__xludf.DUMMYFUNCTION("IMPORTRANGE(""https://docs.google.com/spreadsheets/d/1SX6NBoVAgQJ6U1MVXOaj8PK2l7WJ3RER9xtqwdhxkhw/edit?usp=sharing"",""ลพบุรี!J368"")"),109022)</f>
        <v>109022</v>
      </c>
      <c r="K473" s="202">
        <f t="shared" ca="1" si="117"/>
        <v>100.00183452577508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IFERROR(__xludf.DUMMYFUNCTION("IMPORTRANGE(""https://docs.google.com/spreadsheets/d/1SX6NBoVAgQJ6U1MVXOaj8PK2l7WJ3RER9xtqwdhxkhw/edit?usp=sharing"",""ลพบุรี!I369"")"),6394)</f>
        <v>6394</v>
      </c>
      <c r="J474" s="420">
        <f ca="1">IFERROR(__xludf.DUMMYFUNCTION("IMPORTRANGE(""https://docs.google.com/spreadsheets/d/1SX6NBoVAgQJ6U1MVXOaj8PK2l7WJ3RER9xtqwdhxkhw/edit?usp=sharing"",""ลพบุรี!J369"")"),6394)</f>
        <v>6394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IFERROR(__xludf.DUMMYFUNCTION("IMPORTRANGE(""https://docs.google.com/spreadsheets/d/1SX6NBoVAgQJ6U1MVXOaj8PK2l7WJ3RER9xtqwdhxkhw/edit?usp=sharing"",""ลพบุรี!I370"")"),0)</f>
        <v>0</v>
      </c>
      <c r="J475" s="189">
        <f ca="1">IFERROR(__xludf.DUMMYFUNCTION("IMPORTRANGE(""https://docs.google.com/spreadsheets/d/1SX6NBoVAgQJ6U1MVXOaj8PK2l7WJ3RER9xtqwdhxkhw/edit?usp=sharing"",""ลพบุรี!J370"")"),76894)</f>
        <v>76894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IFERROR(__xludf.DUMMYFUNCTION("IMPORTRANGE(""https://docs.google.com/spreadsheets/d/1SX6NBoVAgQJ6U1MVXOaj8PK2l7WJ3RER9xtqwdhxkhw/edit?usp=sharing"",""ลพบุรี!I371"")"),0)</f>
        <v>0</v>
      </c>
      <c r="J476" s="189">
        <v>4812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IFERROR(__xludf.DUMMYFUNCTION("IMPORTRANGE(""https://docs.google.com/spreadsheets/d/1SX6NBoVAgQJ6U1MVXOaj8PK2l7WJ3RER9xtqwdhxkhw/edit?usp=sharing"",""ลพบุรี!I372"")"),0)</f>
        <v>0</v>
      </c>
      <c r="J477" s="189">
        <f ca="1">IFERROR(__xludf.DUMMYFUNCTION("IMPORTRANGE(""https://docs.google.com/spreadsheets/d/1SX6NBoVAgQJ6U1MVXOaj8PK2l7WJ3RER9xtqwdhxkhw/edit?usp=sharing"",""ลพบุรี!J372"")"),28081)</f>
        <v>28081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IFERROR(__xludf.DUMMYFUNCTION("IMPORTRANGE(""https://docs.google.com/spreadsheets/d/1SX6NBoVAgQJ6U1MVXOaj8PK2l7WJ3RER9xtqwdhxkhw/edit?usp=sharing"",""ลพบุรี!I373"")"),0)</f>
        <v>0</v>
      </c>
      <c r="J478" s="189">
        <f ca="1">IFERROR(__xludf.DUMMYFUNCTION("IMPORTRANGE(""https://docs.google.com/spreadsheets/d/1SX6NBoVAgQJ6U1MVXOaj8PK2l7WJ3RER9xtqwdhxkhw/edit?usp=sharing"",""ลพบุรี!J373"")"),1374)</f>
        <v>1374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IFERROR(__xludf.DUMMYFUNCTION("IMPORTRANGE(""https://docs.google.com/spreadsheets/d/1SX6NBoVAgQJ6U1MVXOaj8PK2l7WJ3RER9xtqwdhxkhw/edit?usp=sharing"",""ลพบุรี!I374"")"),0)</f>
        <v>0</v>
      </c>
      <c r="J479" s="189">
        <f ca="1">IFERROR(__xludf.DUMMYFUNCTION("IMPORTRANGE(""https://docs.google.com/spreadsheets/d/1SX6NBoVAgQJ6U1MVXOaj8PK2l7WJ3RER9xtqwdhxkhw/edit?usp=sharing"",""ลพบุรี!J374"")"),4047)</f>
        <v>4047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IFERROR(__xludf.DUMMYFUNCTION("IMPORTRANGE(""https://docs.google.com/spreadsheets/d/1SX6NBoVAgQJ6U1MVXOaj8PK2l7WJ3RER9xtqwdhxkhw/edit?usp=sharing"",""ลพบุรี!I375"")"),0)</f>
        <v>0</v>
      </c>
      <c r="J480" s="189">
        <f ca="1">IFERROR(__xludf.DUMMYFUNCTION("IMPORTRANGE(""https://docs.google.com/spreadsheets/d/1SX6NBoVAgQJ6U1MVXOaj8PK2l7WJ3RER9xtqwdhxkhw/edit?usp=sharing"",""ลพบุรี!J375"")"),218)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IFERROR(__xludf.DUMMYFUNCTION("IMPORTRANGE(""https://docs.google.com/spreadsheets/d/1SX6NBoVAgQJ6U1MVXOaj8PK2l7WJ3RER9xtqwdhxkhw/edit?usp=sharing"",""ลพบุรี!I376"")"),109020)</f>
        <v>109020</v>
      </c>
      <c r="J481" s="420">
        <f ca="1">IFERROR(__xludf.DUMMYFUNCTION("IMPORTRANGE(""https://docs.google.com/spreadsheets/d/1SX6NBoVAgQJ6U1MVXOaj8PK2l7WJ3RER9xtqwdhxkhw/edit?usp=sharing"",""ลพบุรี!J376"")"),0)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IFERROR(__xludf.DUMMYFUNCTION("IMPORTRANGE(""https://docs.google.com/spreadsheets/d/1SX6NBoVAgQJ6U1MVXOaj8PK2l7WJ3RER9xtqwdhxkhw/edit?usp=sharing"",""ลพบุรี!I377"")"),6394)</f>
        <v>6394</v>
      </c>
      <c r="J482" s="420">
        <f ca="1">IFERROR(__xludf.DUMMYFUNCTION("IMPORTRANGE(""https://docs.google.com/spreadsheets/d/1SX6NBoVAgQJ6U1MVXOaj8PK2l7WJ3RER9xtqwdhxkhw/edit?usp=sharing"",""ลพบุรี!J377"")"),0)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IFERROR(__xludf.DUMMYFUNCTION("IMPORTRANGE(""https://docs.google.com/spreadsheets/d/1SX6NBoVAgQJ6U1MVXOaj8PK2l7WJ3RER9xtqwdhxkhw/edit?usp=sharing"",""ลพบุรี!I378"")"),0)</f>
        <v>0</v>
      </c>
      <c r="J483" s="189">
        <f ca="1">IFERROR(__xludf.DUMMYFUNCTION("IMPORTRANGE(""https://docs.google.com/spreadsheets/d/1SX6NBoVAgQJ6U1MVXOaj8PK2l7WJ3RER9xtqwdhxkhw/edit?usp=sharing"",""ลพบุรี!J378"")"),0)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IFERROR(__xludf.DUMMYFUNCTION("IMPORTRANGE(""https://docs.google.com/spreadsheets/d/1SX6NBoVAgQJ6U1MVXOaj8PK2l7WJ3RER9xtqwdhxkhw/edit?usp=sharing"",""ลพบุรี!I379"")"),0)</f>
        <v>0</v>
      </c>
      <c r="J484" s="189">
        <f ca="1">IFERROR(__xludf.DUMMYFUNCTION("IMPORTRANGE(""https://docs.google.com/spreadsheets/d/1SX6NBoVAgQJ6U1MVXOaj8PK2l7WJ3RER9xtqwdhxkhw/edit?usp=sharing"",""ลพบุรี!J379"")"),0)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IFERROR(__xludf.DUMMYFUNCTION("IMPORTRANGE(""https://docs.google.com/spreadsheets/d/1SX6NBoVAgQJ6U1MVXOaj8PK2l7WJ3RER9xtqwdhxkhw/edit?usp=sharing"",""ลพบุรี!I380"")"),0)</f>
        <v>0</v>
      </c>
      <c r="J485" s="189">
        <f ca="1">IFERROR(__xludf.DUMMYFUNCTION("IMPORTRANGE(""https://docs.google.com/spreadsheets/d/1SX6NBoVAgQJ6U1MVXOaj8PK2l7WJ3RER9xtqwdhxkhw/edit?usp=sharing"",""ลพบุรี!J380"")"),0)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IFERROR(__xludf.DUMMYFUNCTION("IMPORTRANGE(""https://docs.google.com/spreadsheets/d/1SX6NBoVAgQJ6U1MVXOaj8PK2l7WJ3RER9xtqwdhxkhw/edit?usp=sharing"",""ลพบุรี!I381"")"),0)</f>
        <v>0</v>
      </c>
      <c r="J486" s="189">
        <f ca="1">IFERROR(__xludf.DUMMYFUNCTION("IMPORTRANGE(""https://docs.google.com/spreadsheets/d/1SX6NBoVAgQJ6U1MVXOaj8PK2l7WJ3RER9xtqwdhxkhw/edit?usp=sharing"",""ลพบุรี!J381"")"),0)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IFERROR(__xludf.DUMMYFUNCTION("IMPORTRANGE(""https://docs.google.com/spreadsheets/d/1SX6NBoVAgQJ6U1MVXOaj8PK2l7WJ3RER9xtqwdhxkhw/edit?usp=sharing"",""ลพบุรี!I382"")"),0)</f>
        <v>0</v>
      </c>
      <c r="J487" s="420">
        <f ca="1">IFERROR(__xludf.DUMMYFUNCTION("IMPORTRANGE(""https://docs.google.com/spreadsheets/d/1SX6NBoVAgQJ6U1MVXOaj8PK2l7WJ3RER9xtqwdhxkhw/edit?usp=sharing"",""ลพบุรี!J382"")"),0)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IFERROR(__xludf.DUMMYFUNCTION("IMPORTRANGE(""https://docs.google.com/spreadsheets/d/1SX6NBoVAgQJ6U1MVXOaj8PK2l7WJ3RER9xtqwdhxkhw/edit?usp=sharing"",""ลพบุรี!I383"")"),0)</f>
        <v>0</v>
      </c>
      <c r="J488" s="420">
        <f ca="1">IFERROR(__xludf.DUMMYFUNCTION("IMPORTRANGE(""https://docs.google.com/spreadsheets/d/1SX6NBoVAgQJ6U1MVXOaj8PK2l7WJ3RER9xtqwdhxkhw/edit?usp=sharing"",""ลพบุรี!J383"")"),0)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IFERROR(__xludf.DUMMYFUNCTION("IMPORTRANGE(""https://docs.google.com/spreadsheets/d/1SX6NBoVAgQJ6U1MVXOaj8PK2l7WJ3RER9xtqwdhxkhw/edit?usp=sharing"",""ลพบุรี!I384"")"),0)</f>
        <v>0</v>
      </c>
      <c r="J489" s="189">
        <f ca="1">IFERROR(__xludf.DUMMYFUNCTION("IMPORTRANGE(""https://docs.google.com/spreadsheets/d/1SX6NBoVAgQJ6U1MVXOaj8PK2l7WJ3RER9xtqwdhxkhw/edit?usp=sharing"",""ลพบุรี!J384"")"),0)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IFERROR(__xludf.DUMMYFUNCTION("IMPORTRANGE(""https://docs.google.com/spreadsheets/d/1SX6NBoVAgQJ6U1MVXOaj8PK2l7WJ3RER9xtqwdhxkhw/edit?usp=sharing"",""ลพบุรี!I385"")"),0)</f>
        <v>0</v>
      </c>
      <c r="J490" s="189">
        <f ca="1">IFERROR(__xludf.DUMMYFUNCTION("IMPORTRANGE(""https://docs.google.com/spreadsheets/d/1SX6NBoVAgQJ6U1MVXOaj8PK2l7WJ3RER9xtqwdhxkhw/edit?usp=sharing"",""ลพบุรี!J385"")"),0)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IFERROR(__xludf.DUMMYFUNCTION("IMPORTRANGE(""https://docs.google.com/spreadsheets/d/1SX6NBoVAgQJ6U1MVXOaj8PK2l7WJ3RER9xtqwdhxkhw/edit?usp=sharing"",""ลพบุรี!I386"")"),0)</f>
        <v>0</v>
      </c>
      <c r="J491" s="189">
        <f ca="1">IFERROR(__xludf.DUMMYFUNCTION("IMPORTRANGE(""https://docs.google.com/spreadsheets/d/1SX6NBoVAgQJ6U1MVXOaj8PK2l7WJ3RER9xtqwdhxkhw/edit?usp=sharing"",""ลพบุรี!J386"")"),0)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IFERROR(__xludf.DUMMYFUNCTION("IMPORTRANGE(""https://docs.google.com/spreadsheets/d/1SX6NBoVAgQJ6U1MVXOaj8PK2l7WJ3RER9xtqwdhxkhw/edit?usp=sharing"",""ลพบุรี!I387"")"),0)</f>
        <v>0</v>
      </c>
      <c r="J492" s="189">
        <f ca="1">IFERROR(__xludf.DUMMYFUNCTION("IMPORTRANGE(""https://docs.google.com/spreadsheets/d/1SX6NBoVAgQJ6U1MVXOaj8PK2l7WJ3RER9xtqwdhxkhw/edit?usp=sharing"",""ลพบุรี!J387"")"),0)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IFERROR(__xludf.DUMMYFUNCTION("IMPORTRANGE(""https://docs.google.com/spreadsheets/d/1SX6NBoVAgQJ6U1MVXOaj8PK2l7WJ3RER9xtqwdhxkhw/edit?usp=sharing"",""ลพบุรี!I388"")"),0)</f>
        <v>0</v>
      </c>
      <c r="J493" s="189">
        <f ca="1">IFERROR(__xludf.DUMMYFUNCTION("IMPORTRANGE(""https://docs.google.com/spreadsheets/d/1SX6NBoVAgQJ6U1MVXOaj8PK2l7WJ3RER9xtqwdhxkhw/edit?usp=sharing"",""ลพบุรี!J388"")"),0)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IFERROR(__xludf.DUMMYFUNCTION("IMPORTRANGE(""https://docs.google.com/spreadsheets/d/1SX6NBoVAgQJ6U1MVXOaj8PK2l7WJ3RER9xtqwdhxkhw/edit?usp=sharing"",""ลพบุรี!I389"")"),0)</f>
        <v>0</v>
      </c>
      <c r="J494" s="436">
        <f ca="1">IFERROR(__xludf.DUMMYFUNCTION("IMPORTRANGE(""https://docs.google.com/spreadsheets/d/1SX6NBoVAgQJ6U1MVXOaj8PK2l7WJ3RER9xtqwdhxkhw/edit?usp=sharing"",""ลพบุรี!J389"")"),0)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IFERROR(__xludf.DUMMYFUNCTION("IMPORTRANGE(""https://docs.google.com/spreadsheets/d/1SX6NBoVAgQJ6U1MVXOaj8PK2l7WJ3RER9xtqwdhxkhw/edit?usp=sharing"",""ลพบุรี!I390"")"),0)</f>
        <v>0</v>
      </c>
      <c r="J495" s="436">
        <f ca="1">IFERROR(__xludf.DUMMYFUNCTION("IMPORTRANGE(""https://docs.google.com/spreadsheets/d/1SX6NBoVAgQJ6U1MVXOaj8PK2l7WJ3RER9xtqwdhxkhw/edit?usp=sharing"",""ลพบุรี!J390"")"),0)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IFERROR(__xludf.DUMMYFUNCTION("IMPORTRANGE(""https://docs.google.com/spreadsheets/d/1SX6NBoVAgQJ6U1MVXOaj8PK2l7WJ3RER9xtqwdhxkhw/edit?usp=sharing"",""ลพบุรี!I391"")"),0)</f>
        <v>0</v>
      </c>
      <c r="J496" s="436">
        <f ca="1">IFERROR(__xludf.DUMMYFUNCTION("IMPORTRANGE(""https://docs.google.com/spreadsheets/d/1SX6NBoVAgQJ6U1MVXOaj8PK2l7WJ3RER9xtqwdhxkhw/edit?usp=sharing"",""ลพบุรี!J391"")"),0)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IFERROR(__xludf.DUMMYFUNCTION("IMPORTRANGE(""https://docs.google.com/spreadsheets/d/1SX6NBoVAgQJ6U1MVXOaj8PK2l7WJ3RER9xtqwdhxkhw/edit?usp=sharing"",""ลพบุรี!I392"")"),5606)</f>
        <v>5606</v>
      </c>
      <c r="J497" s="443">
        <f ca="1">IFERROR(__xludf.DUMMYFUNCTION("IMPORTRANGE(""https://docs.google.com/spreadsheets/d/1SX6NBoVAgQJ6U1MVXOaj8PK2l7WJ3RER9xtqwdhxkhw/edit?usp=sharing"",""ลพบุรี!J392"")"),0)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IFERROR(__xludf.DUMMYFUNCTION("IMPORTRANGE(""https://docs.google.com/spreadsheets/d/1SX6NBoVAgQJ6U1MVXOaj8PK2l7WJ3RER9xtqwdhxkhw/edit?usp=sharing"",""ลพบุรี!I393"")"),5606)</f>
        <v>5606</v>
      </c>
      <c r="J498" s="420">
        <f ca="1">IFERROR(__xludf.DUMMYFUNCTION("IMPORTRANGE(""https://docs.google.com/spreadsheets/d/1SX6NBoVAgQJ6U1MVXOaj8PK2l7WJ3RER9xtqwdhxkhw/edit?usp=sharing"",""ลพบุรี!J393"")"),0)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IFERROR(__xludf.DUMMYFUNCTION("IMPORTRANGE(""https://docs.google.com/spreadsheets/d/1SX6NBoVAgQJ6U1MVXOaj8PK2l7WJ3RER9xtqwdhxkhw/edit?usp=sharing"",""ลพบุรี!I394"")"),328)</f>
        <v>328</v>
      </c>
      <c r="J499" s="420">
        <f ca="1">IFERROR(__xludf.DUMMYFUNCTION("IMPORTRANGE(""https://docs.google.com/spreadsheets/d/1SX6NBoVAgQJ6U1MVXOaj8PK2l7WJ3RER9xtqwdhxkhw/edit?usp=sharing"",""ลพบุรี!J394"")"),0)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IFERROR(__xludf.DUMMYFUNCTION("IMPORTRANGE(""https://docs.google.com/spreadsheets/d/1SX6NBoVAgQJ6U1MVXOaj8PK2l7WJ3RER9xtqwdhxkhw/edit?usp=sharing"",""ลพบุรี!I395"")"),0)</f>
        <v>0</v>
      </c>
      <c r="J500" s="162">
        <f ca="1">IFERROR(__xludf.DUMMYFUNCTION("IMPORTRANGE(""https://docs.google.com/spreadsheets/d/1SX6NBoVAgQJ6U1MVXOaj8PK2l7WJ3RER9xtqwdhxkhw/edit?usp=sharing"",""ลพบุรี!J395"")"),0)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IFERROR(__xludf.DUMMYFUNCTION("IMPORTRANGE(""https://docs.google.com/spreadsheets/d/1SX6NBoVAgQJ6U1MVXOaj8PK2l7WJ3RER9xtqwdhxkhw/edit?usp=sharing"",""ลพบุรี!I396"")"),0)</f>
        <v>0</v>
      </c>
      <c r="J501" s="162">
        <f ca="1">IFERROR(__xludf.DUMMYFUNCTION("IMPORTRANGE(""https://docs.google.com/spreadsheets/d/1SX6NBoVAgQJ6U1MVXOaj8PK2l7WJ3RER9xtqwdhxkhw/edit?usp=sharing"",""ลพบุรี!J396"")"),0)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IFERROR(__xludf.DUMMYFUNCTION("IMPORTRANGE(""https://docs.google.com/spreadsheets/d/1SX6NBoVAgQJ6U1MVXOaj8PK2l7WJ3RER9xtqwdhxkhw/edit?usp=sharing"",""ลพบุรี!I397"")"),0)</f>
        <v>0</v>
      </c>
      <c r="J502" s="189">
        <f ca="1">IFERROR(__xludf.DUMMYFUNCTION("IMPORTRANGE(""https://docs.google.com/spreadsheets/d/1SX6NBoVAgQJ6U1MVXOaj8PK2l7WJ3RER9xtqwdhxkhw/edit?usp=sharing"",""ลพบุรี!J397"")"),0)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IFERROR(__xludf.DUMMYFUNCTION("IMPORTRANGE(""https://docs.google.com/spreadsheets/d/1SX6NBoVAgQJ6U1MVXOaj8PK2l7WJ3RER9xtqwdhxkhw/edit?usp=sharing"",""ลพบุรี!I398"")"),0)</f>
        <v>0</v>
      </c>
      <c r="J503" s="198">
        <f ca="1">IFERROR(__xludf.DUMMYFUNCTION("IMPORTRANGE(""https://docs.google.com/spreadsheets/d/1SX6NBoVAgQJ6U1MVXOaj8PK2l7WJ3RER9xtqwdhxkhw/edit?usp=sharing"",""ลพบุรี!J398"")"),0)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IFERROR(__xludf.DUMMYFUNCTION("IMPORTRANGE(""https://docs.google.com/spreadsheets/d/1SX6NBoVAgQJ6U1MVXOaj8PK2l7WJ3RER9xtqwdhxkhw/edit?usp=sharing"",""ลพบุรี!I399"")"),0)</f>
        <v>0</v>
      </c>
      <c r="J504" s="189">
        <f ca="1">IFERROR(__xludf.DUMMYFUNCTION("IMPORTRANGE(""https://docs.google.com/spreadsheets/d/1SX6NBoVAgQJ6U1MVXOaj8PK2l7WJ3RER9xtqwdhxkhw/edit?usp=sharing"",""ลพบุรี!J399"")"),0)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IFERROR(__xludf.DUMMYFUNCTION("IMPORTRANGE(""https://docs.google.com/spreadsheets/d/1SX6NBoVAgQJ6U1MVXOaj8PK2l7WJ3RER9xtqwdhxkhw/edit?usp=sharing"",""ลพบุรี!I400"")"),0)</f>
        <v>0</v>
      </c>
      <c r="J505" s="198">
        <f ca="1">IFERROR(__xludf.DUMMYFUNCTION("IMPORTRANGE(""https://docs.google.com/spreadsheets/d/1SX6NBoVAgQJ6U1MVXOaj8PK2l7WJ3RER9xtqwdhxkhw/edit?usp=sharing"",""ลพบุรี!J400"")"),0)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IFERROR(__xludf.DUMMYFUNCTION("IMPORTRANGE(""https://docs.google.com/spreadsheets/d/1SX6NBoVAgQJ6U1MVXOaj8PK2l7WJ3RER9xtqwdhxkhw/edit?usp=sharing"",""ลพบุรี!I401"")"),0)</f>
        <v>0</v>
      </c>
      <c r="J506" s="189">
        <f ca="1">IFERROR(__xludf.DUMMYFUNCTION("IMPORTRANGE(""https://docs.google.com/spreadsheets/d/1SX6NBoVAgQJ6U1MVXOaj8PK2l7WJ3RER9xtqwdhxkhw/edit?usp=sharing"",""ลพบุรี!J401"")"),0)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IFERROR(__xludf.DUMMYFUNCTION("IMPORTRANGE(""https://docs.google.com/spreadsheets/d/1SX6NBoVAgQJ6U1MVXOaj8PK2l7WJ3RER9xtqwdhxkhw/edit?usp=sharing"",""ลพบุรี!I402"")"),0)</f>
        <v>0</v>
      </c>
      <c r="J507" s="198">
        <f ca="1">IFERROR(__xludf.DUMMYFUNCTION("IMPORTRANGE(""https://docs.google.com/spreadsheets/d/1SX6NBoVAgQJ6U1MVXOaj8PK2l7WJ3RER9xtqwdhxkhw/edit?usp=sharing"",""ลพบุรี!J402"")"),0)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IFERROR(__xludf.DUMMYFUNCTION("IMPORTRANGE(""https://docs.google.com/spreadsheets/d/1SX6NBoVAgQJ6U1MVXOaj8PK2l7WJ3RER9xtqwdhxkhw/edit?usp=sharing"",""ลพบุรี!I403"")"),0)</f>
        <v>0</v>
      </c>
      <c r="J508" s="162">
        <f ca="1">IFERROR(__xludf.DUMMYFUNCTION("IMPORTRANGE(""https://docs.google.com/spreadsheets/d/1SX6NBoVAgQJ6U1MVXOaj8PK2l7WJ3RER9xtqwdhxkhw/edit?usp=sharing"",""ลพบุรี!J403"")"),0)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IFERROR(__xludf.DUMMYFUNCTION("IMPORTRANGE(""https://docs.google.com/spreadsheets/d/1SX6NBoVAgQJ6U1MVXOaj8PK2l7WJ3RER9xtqwdhxkhw/edit?usp=sharing"",""ลพบุรี!I404"")"),0)</f>
        <v>0</v>
      </c>
      <c r="J509" s="162">
        <f ca="1">IFERROR(__xludf.DUMMYFUNCTION("IMPORTRANGE(""https://docs.google.com/spreadsheets/d/1SX6NBoVAgQJ6U1MVXOaj8PK2l7WJ3RER9xtqwdhxkhw/edit?usp=sharing"",""ลพบุรี!J404"")"),0)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IFERROR(__xludf.DUMMYFUNCTION("IMPORTRANGE(""https://docs.google.com/spreadsheets/d/1SX6NBoVAgQJ6U1MVXOaj8PK2l7WJ3RER9xtqwdhxkhw/edit?usp=sharing"",""ลพบุรี!I405"")"),0)</f>
        <v>0</v>
      </c>
      <c r="J510" s="198">
        <f ca="1">IFERROR(__xludf.DUMMYFUNCTION("IMPORTRANGE(""https://docs.google.com/spreadsheets/d/1SX6NBoVAgQJ6U1MVXOaj8PK2l7WJ3RER9xtqwdhxkhw/edit?usp=sharing"",""ลพบุรี!J405"")"),0)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IFERROR(__xludf.DUMMYFUNCTION("IMPORTRANGE(""https://docs.google.com/spreadsheets/d/1SX6NBoVAgQJ6U1MVXOaj8PK2l7WJ3RER9xtqwdhxkhw/edit?usp=sharing"",""ลพบุรี!I406"")"),0)</f>
        <v>0</v>
      </c>
      <c r="J511" s="198">
        <f ca="1">IFERROR(__xludf.DUMMYFUNCTION("IMPORTRANGE(""https://docs.google.com/spreadsheets/d/1SX6NBoVAgQJ6U1MVXOaj8PK2l7WJ3RER9xtqwdhxkhw/edit?usp=sharing"",""ลพบุรี!J406"")"),0)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IFERROR(__xludf.DUMMYFUNCTION("IMPORTRANGE(""https://docs.google.com/spreadsheets/d/1SX6NBoVAgQJ6U1MVXOaj8PK2l7WJ3RER9xtqwdhxkhw/edit?usp=sharing"",""ลพบุรี!I407"")"),0)</f>
        <v>0</v>
      </c>
      <c r="J512" s="198">
        <f ca="1">IFERROR(__xludf.DUMMYFUNCTION("IMPORTRANGE(""https://docs.google.com/spreadsheets/d/1SX6NBoVAgQJ6U1MVXOaj8PK2l7WJ3RER9xtqwdhxkhw/edit?usp=sharing"",""ลพบุรี!J407"")"),0)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IFERROR(__xludf.DUMMYFUNCTION("IMPORTRANGE(""https://docs.google.com/spreadsheets/d/1SX6NBoVAgQJ6U1MVXOaj8PK2l7WJ3RER9xtqwdhxkhw/edit?usp=sharing"",""ลพบุรี!I408"")"),0)</f>
        <v>0</v>
      </c>
      <c r="J513" s="198">
        <f ca="1">IFERROR(__xludf.DUMMYFUNCTION("IMPORTRANGE(""https://docs.google.com/spreadsheets/d/1SX6NBoVAgQJ6U1MVXOaj8PK2l7WJ3RER9xtqwdhxkhw/edit?usp=sharing"",""ลพบุรี!J408"")"),0)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IFERROR(__xludf.DUMMYFUNCTION("IMPORTRANGE(""https://docs.google.com/spreadsheets/d/1SX6NBoVAgQJ6U1MVXOaj8PK2l7WJ3RER9xtqwdhxkhw/edit?usp=sharing"",""ลพบุรี!I409"")"),0)</f>
        <v>0</v>
      </c>
      <c r="J514" s="198">
        <f ca="1">IFERROR(__xludf.DUMMYFUNCTION("IMPORTRANGE(""https://docs.google.com/spreadsheets/d/1SX6NBoVAgQJ6U1MVXOaj8PK2l7WJ3RER9xtqwdhxkhw/edit?usp=sharing"",""ลพบุรี!J409"")"),0)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IFERROR(__xludf.DUMMYFUNCTION("IMPORTRANGE(""https://docs.google.com/spreadsheets/d/1SX6NBoVAgQJ6U1MVXOaj8PK2l7WJ3RER9xtqwdhxkhw/edit?usp=sharing"",""ลพบุรี!I410"")"),0)</f>
        <v>0</v>
      </c>
      <c r="J515" s="198">
        <f ca="1">IFERROR(__xludf.DUMMYFUNCTION("IMPORTRANGE(""https://docs.google.com/spreadsheets/d/1SX6NBoVAgQJ6U1MVXOaj8PK2l7WJ3RER9xtqwdhxkhw/edit?usp=sharing"",""ลพบุรี!J410"")"),0)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IFERROR(__xludf.DUMMYFUNCTION("IMPORTRANGE(""https://docs.google.com/spreadsheets/d/1SX6NBoVAgQJ6U1MVXOaj8PK2l7WJ3RER9xtqwdhxkhw/edit?usp=sharing"",""ลพบุรี!I411"")"),0)</f>
        <v>0</v>
      </c>
      <c r="J516" s="268">
        <f ca="1">IFERROR(__xludf.DUMMYFUNCTION("IMPORTRANGE(""https://docs.google.com/spreadsheets/d/1SX6NBoVAgQJ6U1MVXOaj8PK2l7WJ3RER9xtqwdhxkhw/edit?usp=sharing"",""ลพบุรี!J411"")"),0)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IFERROR(__xludf.DUMMYFUNCTION("IMPORTRANGE(""https://docs.google.com/spreadsheets/d/1SX6NBoVAgQJ6U1MVXOaj8PK2l7WJ3RER9xtqwdhxkhw/edit?usp=sharing"",""ลพบุรี!I412"")"),0)</f>
        <v>0</v>
      </c>
      <c r="J517" s="285">
        <f ca="1">IFERROR(__xludf.DUMMYFUNCTION("IMPORTRANGE(""https://docs.google.com/spreadsheets/d/1SX6NBoVAgQJ6U1MVXOaj8PK2l7WJ3RER9xtqwdhxkhw/edit?usp=sharing"",""ลพบุรี!J412"")"),0)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IFERROR(__xludf.DUMMYFUNCTION("IMPORTRANGE(""https://docs.google.com/spreadsheets/d/1SX6NBoVAgQJ6U1MVXOaj8PK2l7WJ3RER9xtqwdhxkhw/edit?usp=sharing"",""ลพบุรี!I413"")"),0)</f>
        <v>0</v>
      </c>
      <c r="J518" s="285">
        <f ca="1">IFERROR(__xludf.DUMMYFUNCTION("IMPORTRANGE(""https://docs.google.com/spreadsheets/d/1SX6NBoVAgQJ6U1MVXOaj8PK2l7WJ3RER9xtqwdhxkhw/edit?usp=sharing"",""ลพบุรี!J413"")"),0)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IFERROR(__xludf.DUMMYFUNCTION("IMPORTRANGE(""https://docs.google.com/spreadsheets/d/1SX6NBoVAgQJ6U1MVXOaj8PK2l7WJ3RER9xtqwdhxkhw/edit?usp=sharing"",""ลพบุรี!I414"")"),0)</f>
        <v>0</v>
      </c>
      <c r="J519" s="188">
        <f ca="1">IFERROR(__xludf.DUMMYFUNCTION("IMPORTRANGE(""https://docs.google.com/spreadsheets/d/1SX6NBoVAgQJ6U1MVXOaj8PK2l7WJ3RER9xtqwdhxkhw/edit?usp=sharing"",""ลพบุรี!J414"")"),0)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IFERROR(__xludf.DUMMYFUNCTION("IMPORTRANGE(""https://docs.google.com/spreadsheets/d/1SX6NBoVAgQJ6U1MVXOaj8PK2l7WJ3RER9xtqwdhxkhw/edit?usp=sharing"",""ลพบุรี!I415"")"),0)</f>
        <v>0</v>
      </c>
      <c r="J520" s="188">
        <f ca="1">IFERROR(__xludf.DUMMYFUNCTION("IMPORTRANGE(""https://docs.google.com/spreadsheets/d/1SX6NBoVAgQJ6U1MVXOaj8PK2l7WJ3RER9xtqwdhxkhw/edit?usp=sharing"",""ลพบุรี!J415"")"),0)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IFERROR(__xludf.DUMMYFUNCTION("IMPORTRANGE(""https://docs.google.com/spreadsheets/d/1SX6NBoVAgQJ6U1MVXOaj8PK2l7WJ3RER9xtqwdhxkhw/edit?usp=sharing"",""ลพบุรี!I416"")"),0)</f>
        <v>0</v>
      </c>
      <c r="J521" s="188">
        <f ca="1">IFERROR(__xludf.DUMMYFUNCTION("IMPORTRANGE(""https://docs.google.com/spreadsheets/d/1SX6NBoVAgQJ6U1MVXOaj8PK2l7WJ3RER9xtqwdhxkhw/edit?usp=sharing"",""ลพบุรี!J416"")"),0)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IFERROR(__xludf.DUMMYFUNCTION("IMPORTRANGE(""https://docs.google.com/spreadsheets/d/1SX6NBoVAgQJ6U1MVXOaj8PK2l7WJ3RER9xtqwdhxkhw/edit?usp=sharing"",""ลพบุรี!I417"")"),0)</f>
        <v>0</v>
      </c>
      <c r="J522" s="188">
        <f ca="1">IFERROR(__xludf.DUMMYFUNCTION("IMPORTRANGE(""https://docs.google.com/spreadsheets/d/1SX6NBoVAgQJ6U1MVXOaj8PK2l7WJ3RER9xtqwdhxkhw/edit?usp=sharing"",""ลพบุรี!J417"")"),0)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IFERROR(__xludf.DUMMYFUNCTION("IMPORTRANGE(""https://docs.google.com/spreadsheets/d/1SX6NBoVAgQJ6U1MVXOaj8PK2l7WJ3RER9xtqwdhxkhw/edit?usp=sharing"",""ลพบุรี!I418"")"),0)</f>
        <v>0</v>
      </c>
      <c r="J523" s="188">
        <f ca="1">IFERROR(__xludf.DUMMYFUNCTION("IMPORTRANGE(""https://docs.google.com/spreadsheets/d/1SX6NBoVAgQJ6U1MVXOaj8PK2l7WJ3RER9xtqwdhxkhw/edit?usp=sharing"",""ลพบุรี!J418"")"),10)</f>
        <v>10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IFERROR(__xludf.DUMMYFUNCTION("IMPORTRANGE(""https://docs.google.com/spreadsheets/d/1SX6NBoVAgQJ6U1MVXOaj8PK2l7WJ3RER9xtqwdhxkhw/edit?usp=sharing"",""ลพบุรี!I419"")"),0)</f>
        <v>0</v>
      </c>
      <c r="J524" s="188">
        <f ca="1">IFERROR(__xludf.DUMMYFUNCTION("IMPORTRANGE(""https://docs.google.com/spreadsheets/d/1SX6NBoVAgQJ6U1MVXOaj8PK2l7WJ3RER9xtqwdhxkhw/edit?usp=sharing"",""ลพบุรี!J419"")"),1)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IFERROR(__xludf.DUMMYFUNCTION("IMPORTRANGE(""https://docs.google.com/spreadsheets/d/1SX6NBoVAgQJ6U1MVXOaj8PK2l7WJ3RER9xtqwdhxkhw/edit?usp=sharing"",""ลพบุรี!I420"")"),10)</f>
        <v>10</v>
      </c>
      <c r="J525" s="285">
        <f ca="1">IFERROR(__xludf.DUMMYFUNCTION("IMPORTRANGE(""https://docs.google.com/spreadsheets/d/1SX6NBoVAgQJ6U1MVXOaj8PK2l7WJ3RER9xtqwdhxkhw/edit?usp=sharing"",""ลพบุรี!J420"")"),0)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IFERROR(__xludf.DUMMYFUNCTION("IMPORTRANGE(""https://docs.google.com/spreadsheets/d/1SX6NBoVAgQJ6U1MVXOaj8PK2l7WJ3RER9xtqwdhxkhw/edit?usp=sharing"",""ลพบุรี!I421"")"),1)</f>
        <v>1</v>
      </c>
      <c r="J526" s="285">
        <f ca="1">IFERROR(__xludf.DUMMYFUNCTION("IMPORTRANGE(""https://docs.google.com/spreadsheets/d/1SX6NBoVAgQJ6U1MVXOaj8PK2l7WJ3RER9xtqwdhxkhw/edit?usp=sharing"",""ลพบุรี!J421"")"),0)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IFERROR(__xludf.DUMMYFUNCTION("IMPORTRANGE(""https://docs.google.com/spreadsheets/d/1SX6NBoVAgQJ6U1MVXOaj8PK2l7WJ3RER9xtqwdhxkhw/edit?usp=sharing"",""ลพบุรี!I422"")"),0)</f>
        <v>0</v>
      </c>
      <c r="J527" s="198">
        <f ca="1">IFERROR(__xludf.DUMMYFUNCTION("IMPORTRANGE(""https://docs.google.com/spreadsheets/d/1SX6NBoVAgQJ6U1MVXOaj8PK2l7WJ3RER9xtqwdhxkhw/edit?usp=sharing"",""ลพบุรี!J422"")"),0)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IFERROR(__xludf.DUMMYFUNCTION("IMPORTRANGE(""https://docs.google.com/spreadsheets/d/1SX6NBoVAgQJ6U1MVXOaj8PK2l7WJ3RER9xtqwdhxkhw/edit?usp=sharing"",""ลพบุรี!I423"")"),0)</f>
        <v>0</v>
      </c>
      <c r="J528" s="198">
        <f ca="1">IFERROR(__xludf.DUMMYFUNCTION("IMPORTRANGE(""https://docs.google.com/spreadsheets/d/1SX6NBoVAgQJ6U1MVXOaj8PK2l7WJ3RER9xtqwdhxkhw/edit?usp=sharing"",""ลพบุรี!J423"")"),0)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IFERROR(__xludf.DUMMYFUNCTION("IMPORTRANGE(""https://docs.google.com/spreadsheets/d/1SX6NBoVAgQJ6U1MVXOaj8PK2l7WJ3RER9xtqwdhxkhw/edit?usp=sharing"",""ลพบุรี!I424"")"),0)</f>
        <v>0</v>
      </c>
      <c r="J529" s="198">
        <f ca="1">IFERROR(__xludf.DUMMYFUNCTION("IMPORTRANGE(""https://docs.google.com/spreadsheets/d/1SX6NBoVAgQJ6U1MVXOaj8PK2l7WJ3RER9xtqwdhxkhw/edit?usp=sharing"",""ลพบุรี!J424"")"),0)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IFERROR(__xludf.DUMMYFUNCTION("IMPORTRANGE(""https://docs.google.com/spreadsheets/d/1SX6NBoVAgQJ6U1MVXOaj8PK2l7WJ3RER9xtqwdhxkhw/edit?usp=sharing"",""ลพบุรี!I425"")"),0)</f>
        <v>0</v>
      </c>
      <c r="J530" s="198">
        <f ca="1">IFERROR(__xludf.DUMMYFUNCTION("IMPORTRANGE(""https://docs.google.com/spreadsheets/d/1SX6NBoVAgQJ6U1MVXOaj8PK2l7WJ3RER9xtqwdhxkhw/edit?usp=sharing"",""ลพบุรี!J425"")"),0)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IFERROR(__xludf.DUMMYFUNCTION("IMPORTRANGE(""https://docs.google.com/spreadsheets/d/1SX6NBoVAgQJ6U1MVXOaj8PK2l7WJ3RER9xtqwdhxkhw/edit?usp=sharing"",""ลพบุรี!I426"")"),0)</f>
        <v>0</v>
      </c>
      <c r="J531" s="198">
        <f ca="1">IFERROR(__xludf.DUMMYFUNCTION("IMPORTRANGE(""https://docs.google.com/spreadsheets/d/1SX6NBoVAgQJ6U1MVXOaj8PK2l7WJ3RER9xtqwdhxkhw/edit?usp=sharing"",""ลพบุรี!J426"")"),0)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IFERROR(__xludf.DUMMYFUNCTION("IMPORTRANGE(""https://docs.google.com/spreadsheets/d/1SX6NBoVAgQJ6U1MVXOaj8PK2l7WJ3RER9xtqwdhxkhw/edit?usp=sharing"",""ลพบุรี!I427"")"),0)</f>
        <v>0</v>
      </c>
      <c r="J532" s="466">
        <f ca="1">IFERROR(__xludf.DUMMYFUNCTION("IMPORTRANGE(""https://docs.google.com/spreadsheets/d/1SX6NBoVAgQJ6U1MVXOaj8PK2l7WJ3RER9xtqwdhxkhw/edit?usp=sharing"",""ลพบุรี!J427"")"),0)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IFERROR(__xludf.DUMMYFUNCTION("IMPORTRANGE(""https://docs.google.com/spreadsheets/d/1SX6NBoVAgQJ6U1MVXOaj8PK2l7WJ3RER9xtqwdhxkhw/edit?usp=sharing"",""ลพบุรี!I428"")"),22)</f>
        <v>22</v>
      </c>
      <c r="J533" s="410">
        <f ca="1">IFERROR(__xludf.DUMMYFUNCTION("IMPORTRANGE(""https://docs.google.com/spreadsheets/d/1SX6NBoVAgQJ6U1MVXOaj8PK2l7WJ3RER9xtqwdhxkhw/edit?usp=sharing"",""ลพบุรี!J428"")"),22)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IFERROR(__xludf.DUMMYFUNCTION("IMPORTRANGE(""https://docs.google.com/spreadsheets/d/1SX6NBoVAgQJ6U1MVXOaj8PK2l7WJ3RER9xtqwdhxkhw/edit?usp=sharing"",""ลพบุรี!L428"")"),34340)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IFERROR(__xludf.DUMMYFUNCTION("IMPORTRANGE(""https://docs.google.com/spreadsheets/d/1SX6NBoVAgQJ6U1MVXOaj8PK2l7WJ3RER9xtqwdhxkhw/edit?usp=sharing"",""ลพบุรี!M428"")"),27220)</f>
        <v>27220</v>
      </c>
      <c r="O533" s="412">
        <f t="shared" ref="O533:O537" ca="1" si="118">+IF(L533&gt;0,N533*100/L533,0)</f>
        <v>79.266161910308682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IFERROR(__xludf.DUMMYFUNCTION("IMPORTRANGE(""https://docs.google.com/spreadsheets/d/1SX6NBoVAgQJ6U1MVXOaj8PK2l7WJ3RER9xtqwdhxkhw/edit?usp=sharing"",""ลพบุรี!L429"")"),0)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IFERROR(__xludf.DUMMYFUNCTION("IMPORTRANGE(""https://docs.google.com/spreadsheets/d/1SX6NBoVAgQJ6U1MVXOaj8PK2l7WJ3RER9xtqwdhxkhw/edit?usp=sharing"",""ลพบุรี!M429"")"),0)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IFERROR(__xludf.DUMMYFUNCTION("IMPORTRANGE(""https://docs.google.com/spreadsheets/d/1SX6NBoVAgQJ6U1MVXOaj8PK2l7WJ3RER9xtqwdhxkhw/edit?usp=sharing"",""ลพบุรี!L430"")"),34340)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IFERROR(__xludf.DUMMYFUNCTION("IMPORTRANGE(""https://docs.google.com/spreadsheets/d/1SX6NBoVAgQJ6U1MVXOaj8PK2l7WJ3RER9xtqwdhxkhw/edit?usp=sharing"",""ลพบุรี!M430"")"),27220)</f>
        <v>27220</v>
      </c>
      <c r="O535" s="169">
        <f t="shared" ca="1" si="118"/>
        <v>79.266161910308682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IFERROR(__xludf.DUMMYFUNCTION("IMPORTRANGE(""https://docs.google.com/spreadsheets/d/1SX6NBoVAgQJ6U1MVXOaj8PK2l7WJ3RER9xtqwdhxkhw/edit?usp=sharing"",""ลพบุรี!L431"")"),0)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IFERROR(__xludf.DUMMYFUNCTION("IMPORTRANGE(""https://docs.google.com/spreadsheets/d/1SX6NBoVAgQJ6U1MVXOaj8PK2l7WJ3RER9xtqwdhxkhw/edit?usp=sharing"",""ลพบุรี!M431"")"),0)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IFERROR(__xludf.DUMMYFUNCTION("IMPORTRANGE(""https://docs.google.com/spreadsheets/d/1SX6NBoVAgQJ6U1MVXOaj8PK2l7WJ3RER9xtqwdhxkhw/edit?usp=sharing"",""ลพบุรี!L432"")"),34340)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IFERROR(__xludf.DUMMYFUNCTION("IMPORTRANGE(""https://docs.google.com/spreadsheets/d/1SX6NBoVAgQJ6U1MVXOaj8PK2l7WJ3RER9xtqwdhxkhw/edit?usp=sharing"",""ลพบุรี!M432"")"),27220)</f>
        <v>27220</v>
      </c>
      <c r="O537" s="169">
        <f t="shared" ca="1" si="118"/>
        <v>79.266161910308682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IFERROR(__xludf.DUMMYFUNCTION("IMPORTRANGE(""https://docs.google.com/spreadsheets/d/1SX6NBoVAgQJ6U1MVXOaj8PK2l7WJ3RER9xtqwdhxkhw/edit?usp=sharing"",""ลพบุรี!M433"")"),18740)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IFERROR(__xludf.DUMMYFUNCTION("IMPORTRANGE(""https://docs.google.com/spreadsheets/d/1SX6NBoVAgQJ6U1MVXOaj8PK2l7WJ3RER9xtqwdhxkhw/edit?usp=sharing"",""ลพบุรี!M434"")"),0)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IFERROR(__xludf.DUMMYFUNCTION("IMPORTRANGE(""https://docs.google.com/spreadsheets/d/1SX6NBoVAgQJ6U1MVXOaj8PK2l7WJ3RER9xtqwdhxkhw/edit?usp=sharing"",""ลพบุรี!M435"")"),0)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IFERROR(__xludf.DUMMYFUNCTION("IMPORTRANGE(""https://docs.google.com/spreadsheets/d/1SX6NBoVAgQJ6U1MVXOaj8PK2l7WJ3RER9xtqwdhxkhw/edit?usp=sharing"",""ลพบุรี!M436"")"),8480)</f>
        <v>8480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IFERROR(__xludf.DUMMYFUNCTION("IMPORTRANGE(""https://docs.google.com/spreadsheets/d/1SX6NBoVAgQJ6U1MVXOaj8PK2l7WJ3RER9xtqwdhxkhw/edit?usp=sharing"",""ลพบุรี!J438"")"),0)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IFERROR(__xludf.DUMMYFUNCTION("IMPORTRANGE(""https://docs.google.com/spreadsheets/d/1SX6NBoVAgQJ6U1MVXOaj8PK2l7WJ3RER9xtqwdhxkhw/edit?usp=sharing"",""ลพบุรี!J439"")"),1)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IFERROR(__xludf.DUMMYFUNCTION("IMPORTRANGE(""https://docs.google.com/spreadsheets/d/1SX6NBoVAgQJ6U1MVXOaj8PK2l7WJ3RER9xtqwdhxkhw/edit?usp=sharing"",""ลพบุรี!J440"")"),1)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IFERROR(__xludf.DUMMYFUNCTION("IMPORTRANGE(""https://docs.google.com/spreadsheets/d/1SX6NBoVAgQJ6U1MVXOaj8PK2l7WJ3RER9xtqwdhxkhw/edit?usp=sharing"",""ลพบุรี!J441"")"),1)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IFERROR(__xludf.DUMMYFUNCTION("IMPORTRANGE(""https://docs.google.com/spreadsheets/d/1SX6NBoVAgQJ6U1MVXOaj8PK2l7WJ3RER9xtqwdhxkhw/edit?usp=sharing"",""ลพบุรี!I442"")"),22)</f>
        <v>22</v>
      </c>
      <c r="J547" s="189">
        <f ca="1">IFERROR(__xludf.DUMMYFUNCTION("IMPORTRANGE(""https://docs.google.com/spreadsheets/d/1SX6NBoVAgQJ6U1MVXOaj8PK2l7WJ3RER9xtqwdhxkhw/edit?usp=sharing"",""ลพบุรี!J442"")"),22)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IFERROR(__xludf.DUMMYFUNCTION("IMPORTRANGE(""https://docs.google.com/spreadsheets/d/1SX6NBoVAgQJ6U1MVXOaj8PK2l7WJ3RER9xtqwdhxkhw/edit?usp=sharing"",""ลพบุรี!J166"")"),0)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IFERROR(__xludf.DUMMYFUNCTION("IMPORTRANGE(""https://docs.google.com/spreadsheets/d/1SX6NBoVAgQJ6U1MVXOaj8PK2l7WJ3RER9xtqwdhxkhw/edit?usp=sharing"",""ลพบุรี!J444"")"),1)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IFERROR(__xludf.DUMMYFUNCTION("IMPORTRANGE(""https://docs.google.com/spreadsheets/d/1SX6NBoVAgQJ6U1MVXOaj8PK2l7WJ3RER9xtqwdhxkhw/edit?usp=sharing"",""ลพบุรี!J445"")"),0)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IFERROR(__xludf.DUMMYFUNCTION("IMPORTRANGE(""https://docs.google.com/spreadsheets/d/1SX6NBoVAgQJ6U1MVXOaj8PK2l7WJ3RER9xtqwdhxkhw/edit?usp=sharing"",""ลพบุรี!I446"")"),0)</f>
        <v>0</v>
      </c>
      <c r="J551" s="410">
        <f ca="1">IFERROR(__xludf.DUMMYFUNCTION("IMPORTRANGE(""https://docs.google.com/spreadsheets/d/1SX6NBoVAgQJ6U1MVXOaj8PK2l7WJ3RER9xtqwdhxkhw/edit?usp=sharing"",""ลพบุรี!J446"")"),0)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IFERROR(__xludf.DUMMYFUNCTION("IMPORTRANGE(""https://docs.google.com/spreadsheets/d/1SX6NBoVAgQJ6U1MVXOaj8PK2l7WJ3RER9xtqwdhxkhw/edit?usp=sharing"",""ลพบุรี!L446"")"),0)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IFERROR(__xludf.DUMMYFUNCTION("IMPORTRANGE(""https://docs.google.com/spreadsheets/d/1SX6NBoVAgQJ6U1MVXOaj8PK2l7WJ3RER9xtqwdhxkhw/edit?usp=sharing"",""ลพบุรี!M446"")"),0)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IFERROR(__xludf.DUMMYFUNCTION("IMPORTRANGE(""https://docs.google.com/spreadsheets/d/1SX6NBoVAgQJ6U1MVXOaj8PK2l7WJ3RER9xtqwdhxkhw/edit?usp=sharing"",""ลพบุรี!L447"")"),0)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IFERROR(__xludf.DUMMYFUNCTION("IMPORTRANGE(""https://docs.google.com/spreadsheets/d/1SX6NBoVAgQJ6U1MVXOaj8PK2l7WJ3RER9xtqwdhxkhw/edit?usp=sharing"",""ลพบุรี!M447"")"),0)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IFERROR(__xludf.DUMMYFUNCTION("IMPORTRANGE(""https://docs.google.com/spreadsheets/d/1SX6NBoVAgQJ6U1MVXOaj8PK2l7WJ3RER9xtqwdhxkhw/edit?usp=sharing"",""ลพบุรี!L448"")"),0)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IFERROR(__xludf.DUMMYFUNCTION("IMPORTRANGE(""https://docs.google.com/spreadsheets/d/1SX6NBoVAgQJ6U1MVXOaj8PK2l7WJ3RER9xtqwdhxkhw/edit?usp=sharing"",""ลพบุรี!M448"")"),0)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IFERROR(__xludf.DUMMYFUNCTION("IMPORTRANGE(""https://docs.google.com/spreadsheets/d/1SX6NBoVAgQJ6U1MVXOaj8PK2l7WJ3RER9xtqwdhxkhw/edit?usp=sharing"",""ลพบุรี!L449"")"),0)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IFERROR(__xludf.DUMMYFUNCTION("IMPORTRANGE(""https://docs.google.com/spreadsheets/d/1SX6NBoVAgQJ6U1MVXOaj8PK2l7WJ3RER9xtqwdhxkhw/edit?usp=sharing"",""ลพบุรี!M449"")"),0)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IFERROR(__xludf.DUMMYFUNCTION("IMPORTRANGE(""https://docs.google.com/spreadsheets/d/1SX6NBoVAgQJ6U1MVXOaj8PK2l7WJ3RER9xtqwdhxkhw/edit?usp=sharing"",""ลพบุรี!L450"")"),0)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IFERROR(__xludf.DUMMYFUNCTION("IMPORTRANGE(""https://docs.google.com/spreadsheets/d/1SX6NBoVAgQJ6U1MVXOaj8PK2l7WJ3RER9xtqwdhxkhw/edit?usp=sharing"",""ลพบุรี!M450"")"),0)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IFERROR(__xludf.DUMMYFUNCTION("IMPORTRANGE(""https://docs.google.com/spreadsheets/d/1SX6NBoVAgQJ6U1MVXOaj8PK2l7WJ3RER9xtqwdhxkhw/edit?usp=sharing"",""ลพบุรี!M451"")"),0)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IFERROR(__xludf.DUMMYFUNCTION("IMPORTRANGE(""https://docs.google.com/spreadsheets/d/1SX6NBoVAgQJ6U1MVXOaj8PK2l7WJ3RER9xtqwdhxkhw/edit?usp=sharing"",""ลพบุรี!M452"")"),0)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IFERROR(__xludf.DUMMYFUNCTION("IMPORTRANGE(""https://docs.google.com/spreadsheets/d/1SX6NBoVAgQJ6U1MVXOaj8PK2l7WJ3RER9xtqwdhxkhw/edit?usp=sharing"",""ลพบุรี!M453"")"),0)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IFERROR(__xludf.DUMMYFUNCTION("IMPORTRANGE(""https://docs.google.com/spreadsheets/d/1SX6NBoVAgQJ6U1MVXOaj8PK2l7WJ3RER9xtqwdhxkhw/edit?usp=sharing"",""ลพบุรี!M454"")"),0)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IFERROR(__xludf.DUMMYFUNCTION("IMPORTRANGE(""https://docs.google.com/spreadsheets/d/1SX6NBoVAgQJ6U1MVXOaj8PK2l7WJ3RER9xtqwdhxkhw/edit?usp=sharing"",""ลพบุรี!I455"")"),0)</f>
        <v>0</v>
      </c>
      <c r="J560" s="162">
        <f ca="1">IFERROR(__xludf.DUMMYFUNCTION("IMPORTRANGE(""https://docs.google.com/spreadsheets/d/1SX6NBoVAgQJ6U1MVXOaj8PK2l7WJ3RER9xtqwdhxkhw/edit?usp=sharing"",""ลพบุรี!J455"")"),0)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IFERROR(__xludf.DUMMYFUNCTION("IMPORTRANGE(""https://docs.google.com/spreadsheets/d/1SX6NBoVAgQJ6U1MVXOaj8PK2l7WJ3RER9xtqwdhxkhw/edit?usp=sharing"",""ลพบุรี!I456"")"),0)</f>
        <v>0</v>
      </c>
      <c r="J561" s="204">
        <f ca="1">IFERROR(__xludf.DUMMYFUNCTION("IMPORTRANGE(""https://docs.google.com/spreadsheets/d/1SX6NBoVAgQJ6U1MVXOaj8PK2l7WJ3RER9xtqwdhxkhw/edit?usp=sharing"",""ลพบุรี!J456"")"),0)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IFERROR(__xludf.DUMMYFUNCTION("IMPORTRANGE(""https://docs.google.com/spreadsheets/d/1SX6NBoVAgQJ6U1MVXOaj8PK2l7WJ3RER9xtqwdhxkhw/edit?usp=sharing"",""ลพบุรี!I459"")"),1350)</f>
        <v>1350</v>
      </c>
      <c r="J564" s="371">
        <f ca="1">IFERROR(__xludf.DUMMYFUNCTION("IMPORTRANGE(""https://docs.google.com/spreadsheets/d/1SX6NBoVAgQJ6U1MVXOaj8PK2l7WJ3RER9xtqwdhxkhw/edit?usp=sharing"",""ลพบุรี!J459"")"),3423)</f>
        <v>3423</v>
      </c>
      <c r="K564" s="372">
        <f ca="1">IF(I564&gt;0,J564*100/I564,0)</f>
        <v>253.55555555555554</v>
      </c>
      <c r="L564" s="373">
        <f ca="1">IFERROR(__xludf.DUMMYFUNCTION("IMPORTRANGE(""https://docs.google.com/spreadsheets/d/1SX6NBoVAgQJ6U1MVXOaj8PK2l7WJ3RER9xtqwdhxkhw/edit?usp=sharing"",""ลพบุรี!L459"")"),127680)</f>
        <v>127680</v>
      </c>
      <c r="M564" s="373"/>
      <c r="N564" s="373">
        <f ca="1">IFERROR(__xludf.DUMMYFUNCTION("IMPORTRANGE(""https://docs.google.com/spreadsheets/d/1SX6NBoVAgQJ6U1MVXOaj8PK2l7WJ3RER9xtqwdhxkhw/edit?usp=sharing"",""ลพบุรี!M459"")"),52410)</f>
        <v>52410</v>
      </c>
      <c r="O564" s="373">
        <f t="shared" ref="O564:O568" ca="1" si="122">+IF(L564&gt;0,N564*100/L564,0)</f>
        <v>41.047932330827066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IFERROR(__xludf.DUMMYFUNCTION("IMPORTRANGE(""https://docs.google.com/spreadsheets/d/1SX6NBoVAgQJ6U1MVXOaj8PK2l7WJ3RER9xtqwdhxkhw/edit?usp=sharing"",""ลพบุรี!L460"")"),0)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IFERROR(__xludf.DUMMYFUNCTION("IMPORTRANGE(""https://docs.google.com/spreadsheets/d/1SX6NBoVAgQJ6U1MVXOaj8PK2l7WJ3RER9xtqwdhxkhw/edit?usp=sharing"",""ลพบุรี!M460"")"),0)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IFERROR(__xludf.DUMMYFUNCTION("IMPORTRANGE(""https://docs.google.com/spreadsheets/d/1SX6NBoVAgQJ6U1MVXOaj8PK2l7WJ3RER9xtqwdhxkhw/edit?usp=sharing"",""ลพบุรี!L461"")"),127680)</f>
        <v>127680</v>
      </c>
      <c r="M566" s="165"/>
      <c r="N566" s="169">
        <f ca="1">IFERROR(__xludf.DUMMYFUNCTION("IMPORTRANGE(""https://docs.google.com/spreadsheets/d/1SX6NBoVAgQJ6U1MVXOaj8PK2l7WJ3RER9xtqwdhxkhw/edit?usp=sharing"",""ลพบุรี!M461"")"),52410)</f>
        <v>52410</v>
      </c>
      <c r="O566" s="169">
        <f t="shared" ca="1" si="122"/>
        <v>41.047932330827066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IFERROR(__xludf.DUMMYFUNCTION("IMPORTRANGE(""https://docs.google.com/spreadsheets/d/1SX6NBoVAgQJ6U1MVXOaj8PK2l7WJ3RER9xtqwdhxkhw/edit?usp=sharing"",""ลพบุรี!L462"")"),0)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IFERROR(__xludf.DUMMYFUNCTION("IMPORTRANGE(""https://docs.google.com/spreadsheets/d/1SX6NBoVAgQJ6U1MVXOaj8PK2l7WJ3RER9xtqwdhxkhw/edit?usp=sharing"",""ลพบุรี!M462"")"),0)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IFERROR(__xludf.DUMMYFUNCTION("IMPORTRANGE(""https://docs.google.com/spreadsheets/d/1SX6NBoVAgQJ6U1MVXOaj8PK2l7WJ3RER9xtqwdhxkhw/edit?usp=sharing"",""ลพบุรี!L463"")"),127680)</f>
        <v>127680</v>
      </c>
      <c r="M568" s="169"/>
      <c r="N568" s="169">
        <f ca="1">IFERROR(__xludf.DUMMYFUNCTION("IMPORTRANGE(""https://docs.google.com/spreadsheets/d/1SX6NBoVAgQJ6U1MVXOaj8PK2l7WJ3RER9xtqwdhxkhw/edit?usp=sharing"",""ลพบุรี!M463"")"),52410)</f>
        <v>52410</v>
      </c>
      <c r="O568" s="169">
        <f t="shared" ca="1" si="122"/>
        <v>41.047932330827066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IFERROR(__xludf.DUMMYFUNCTION("IMPORTRANGE(""https://docs.google.com/spreadsheets/d/1SX6NBoVAgQJ6U1MVXOaj8PK2l7WJ3RER9xtqwdhxkhw/edit?usp=sharing"",""ลพบุรี!M464"")"),0)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IFERROR(__xludf.DUMMYFUNCTION("IMPORTRANGE(""https://docs.google.com/spreadsheets/d/1SX6NBoVAgQJ6U1MVXOaj8PK2l7WJ3RER9xtqwdhxkhw/edit?usp=sharing"",""ลพบุรี!M465"")"),0)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IFERROR(__xludf.DUMMYFUNCTION("IMPORTRANGE(""https://docs.google.com/spreadsheets/d/1SX6NBoVAgQJ6U1MVXOaj8PK2l7WJ3RER9xtqwdhxkhw/edit?usp=sharing"",""ลพบุรี!M466"")"),41870)</f>
        <v>41870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IFERROR(__xludf.DUMMYFUNCTION("IMPORTRANGE(""https://docs.google.com/spreadsheets/d/1SX6NBoVAgQJ6U1MVXOaj8PK2l7WJ3RER9xtqwdhxkhw/edit?usp=sharing"",""ลพบุรี!M467"")"),10540)</f>
        <v>10540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IFERROR(__xludf.DUMMYFUNCTION("IMPORTRANGE(""https://docs.google.com/spreadsheets/d/1SX6NBoVAgQJ6U1MVXOaj8PK2l7WJ3RER9xtqwdhxkhw/edit?usp=sharing"",""ลพบุรี!I468"")"),1350)</f>
        <v>1350</v>
      </c>
      <c r="J573" s="420">
        <f ca="1">IFERROR(__xludf.DUMMYFUNCTION("IMPORTRANGE(""https://docs.google.com/spreadsheets/d/1SX6NBoVAgQJ6U1MVXOaj8PK2l7WJ3RER9xtqwdhxkhw/edit?usp=sharing"",""ลพบุรี!J468"")"),3423)</f>
        <v>3423</v>
      </c>
      <c r="K573" s="202">
        <f ca="1">IF(I573&gt;0,J573*100/I573,0)</f>
        <v>253.55555555555554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IFERROR(__xludf.DUMMYFUNCTION("IMPORTRANGE(""https://docs.google.com/spreadsheets/d/1SX6NBoVAgQJ6U1MVXOaj8PK2l7WJ3RER9xtqwdhxkhw/edit?usp=sharing"",""ลพบุรี!I470"")"),0)</f>
        <v>0</v>
      </c>
      <c r="J575" s="198">
        <f ca="1">IFERROR(__xludf.DUMMYFUNCTION("IMPORTRANGE(""https://docs.google.com/spreadsheets/d/1SX6NBoVAgQJ6U1MVXOaj8PK2l7WJ3RER9xtqwdhxkhw/edit?usp=sharing"",""ลพบุรี!J470"")"),6)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IFERROR(__xludf.DUMMYFUNCTION("IMPORTRANGE(""https://docs.google.com/spreadsheets/d/1SX6NBoVAgQJ6U1MVXOaj8PK2l7WJ3RER9xtqwdhxkhw/edit?usp=sharing"",""ลพบุรี!I471"")"),0)</f>
        <v>0</v>
      </c>
      <c r="J576" s="198">
        <f ca="1">IFERROR(__xludf.DUMMYFUNCTION("IMPORTRANGE(""https://docs.google.com/spreadsheets/d/1SX6NBoVAgQJ6U1MVXOaj8PK2l7WJ3RER9xtqwdhxkhw/edit?usp=sharing"",""ลพบุรี!J471"")"),408)</f>
        <v>408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IFERROR(__xludf.DUMMYFUNCTION("IMPORTRANGE(""https://docs.google.com/spreadsheets/d/1SX6NBoVAgQJ6U1MVXOaj8PK2l7WJ3RER9xtqwdhxkhw/edit?usp=sharing"",""ลพบุรี!I472"")"),0)</f>
        <v>0</v>
      </c>
      <c r="J577" s="189">
        <f ca="1">IFERROR(__xludf.DUMMYFUNCTION("IMPORTRANGE(""https://docs.google.com/spreadsheets/d/1SX6NBoVAgQJ6U1MVXOaj8PK2l7WJ3RER9xtqwdhxkhw/edit?usp=sharing"",""ลพบุรี!J472"")"),3015)</f>
        <v>3015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IFERROR(__xludf.DUMMYFUNCTION("IMPORTRANGE(""https://docs.google.com/spreadsheets/d/1SX6NBoVAgQJ6U1MVXOaj8PK2l7WJ3RER9xtqwdhxkhw/edit?usp=sharing"",""ลพบุรี!I473"")"),0)</f>
        <v>0</v>
      </c>
      <c r="J578" s="198">
        <f ca="1">IFERROR(__xludf.DUMMYFUNCTION("IMPORTRANGE(""https://docs.google.com/spreadsheets/d/1SX6NBoVAgQJ6U1MVXOaj8PK2l7WJ3RER9xtqwdhxkhw/edit?usp=sharing"",""ลพบุรี!J473"")"),0)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IFERROR(__xludf.DUMMYFUNCTION("IMPORTRANGE(""https://docs.google.com/spreadsheets/d/1SX6NBoVAgQJ6U1MVXOaj8PK2l7WJ3RER9xtqwdhxkhw/edit?usp=sharing"",""ลพบุรี!I474"")"),0)</f>
        <v>0</v>
      </c>
      <c r="J579" s="198">
        <f ca="1">IFERROR(__xludf.DUMMYFUNCTION("IMPORTRANGE(""https://docs.google.com/spreadsheets/d/1SX6NBoVAgQJ6U1MVXOaj8PK2l7WJ3RER9xtqwdhxkhw/edit?usp=sharing"",""ลพบุรี!J474"")"),0)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IFERROR(__xludf.DUMMYFUNCTION("IMPORTRANGE(""https://docs.google.com/spreadsheets/d/1SX6NBoVAgQJ6U1MVXOaj8PK2l7WJ3RER9xtqwdhxkhw/edit?usp=sharing"",""ลพบุรี!I475"")"),0)</f>
        <v>0</v>
      </c>
      <c r="J580" s="371">
        <f ca="1">IFERROR(__xludf.DUMMYFUNCTION("IMPORTRANGE(""https://docs.google.com/spreadsheets/d/1SX6NBoVAgQJ6U1MVXOaj8PK2l7WJ3RER9xtqwdhxkhw/edit?usp=sharing"",""ลพบุรี!J475"")"),3)</f>
        <v>3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IFERROR(__xludf.DUMMYFUNCTION("IMPORTRANGE(""https://docs.google.com/spreadsheets/d/1SX6NBoVAgQJ6U1MVXOaj8PK2l7WJ3RER9xtqwdhxkhw/edit?usp=sharing"",""ลพบุรี!L475"")"),0)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IFERROR(__xludf.DUMMYFUNCTION("IMPORTRANGE(""https://docs.google.com/spreadsheets/d/1SX6NBoVAgQJ6U1MVXOaj8PK2l7WJ3RER9xtqwdhxkhw/edit?usp=sharing"",""ลพบุรี!M475"")"),0)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IFERROR(__xludf.DUMMYFUNCTION("IMPORTRANGE(""https://docs.google.com/spreadsheets/d/1SX6NBoVAgQJ6U1MVXOaj8PK2l7WJ3RER9xtqwdhxkhw/edit?usp=sharing"",""ลพบุรี!L476"")"),0)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IFERROR(__xludf.DUMMYFUNCTION("IMPORTRANGE(""https://docs.google.com/spreadsheets/d/1SX6NBoVAgQJ6U1MVXOaj8PK2l7WJ3RER9xtqwdhxkhw/edit?usp=sharing"",""ลพบุรี!M476"")"),0)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IFERROR(__xludf.DUMMYFUNCTION("IMPORTRANGE(""https://docs.google.com/spreadsheets/d/1SX6NBoVAgQJ6U1MVXOaj8PK2l7WJ3RER9xtqwdhxkhw/edit?usp=sharing"",""ลพบุรี!L477"")"),0)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IFERROR(__xludf.DUMMYFUNCTION("IMPORTRANGE(""https://docs.google.com/spreadsheets/d/1SX6NBoVAgQJ6U1MVXOaj8PK2l7WJ3RER9xtqwdhxkhw/edit?usp=sharing"",""ลพบุรี!M477"")"),0)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IFERROR(__xludf.DUMMYFUNCTION("IMPORTRANGE(""https://docs.google.com/spreadsheets/d/1SX6NBoVAgQJ6U1MVXOaj8PK2l7WJ3RER9xtqwdhxkhw/edit?usp=sharing"",""ลพบุรี!L478"")"),0)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IFERROR(__xludf.DUMMYFUNCTION("IMPORTRANGE(""https://docs.google.com/spreadsheets/d/1SX6NBoVAgQJ6U1MVXOaj8PK2l7WJ3RER9xtqwdhxkhw/edit?usp=sharing"",""ลพบุรี!M478"")"),0)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IFERROR(__xludf.DUMMYFUNCTION("IMPORTRANGE(""https://docs.google.com/spreadsheets/d/1SX6NBoVAgQJ6U1MVXOaj8PK2l7WJ3RER9xtqwdhxkhw/edit?usp=sharing"",""ลพบุรี!L479"")"),0)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IFERROR(__xludf.DUMMYFUNCTION("IMPORTRANGE(""https://docs.google.com/spreadsheets/d/1SX6NBoVAgQJ6U1MVXOaj8PK2l7WJ3RER9xtqwdhxkhw/edit?usp=sharing"",""ลพบุรี!M479"")"),0)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IFERROR(__xludf.DUMMYFUNCTION("IMPORTRANGE(""https://docs.google.com/spreadsheets/d/1SX6NBoVAgQJ6U1MVXOaj8PK2l7WJ3RER9xtqwdhxkhw/edit?usp=sharing"",""ลพบุรี!M480"")"),0)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IFERROR(__xludf.DUMMYFUNCTION("IMPORTRANGE(""https://docs.google.com/spreadsheets/d/1SX6NBoVAgQJ6U1MVXOaj8PK2l7WJ3RER9xtqwdhxkhw/edit?usp=sharing"",""ลพบุรี!M481"")"),0)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IFERROR(__xludf.DUMMYFUNCTION("IMPORTRANGE(""https://docs.google.com/spreadsheets/d/1SX6NBoVAgQJ6U1MVXOaj8PK2l7WJ3RER9xtqwdhxkhw/edit?usp=sharing"",""ลพบุรี!M482"")"),0)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IFERROR(__xludf.DUMMYFUNCTION("IMPORTRANGE(""https://docs.google.com/spreadsheets/d/1SX6NBoVAgQJ6U1MVXOaj8PK2l7WJ3RER9xtqwdhxkhw/edit?usp=sharing"",""ลพบุรี!M483"")"),0)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IFERROR(__xludf.DUMMYFUNCTION("IMPORTRANGE(""https://docs.google.com/spreadsheets/d/1SX6NBoVAgQJ6U1MVXOaj8PK2l7WJ3RER9xtqwdhxkhw/edit?usp=sharing"",""ลพบุรี!I484"")"),0)</f>
        <v>0</v>
      </c>
      <c r="J589" s="188">
        <f ca="1">IFERROR(__xludf.DUMMYFUNCTION("IMPORTRANGE(""https://docs.google.com/spreadsheets/d/1SX6NBoVAgQJ6U1MVXOaj8PK2l7WJ3RER9xtqwdhxkhw/edit?usp=sharing"",""ลพบุรี!J484"")"),2)</f>
        <v>2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IFERROR(__xludf.DUMMYFUNCTION("IMPORTRANGE(""https://docs.google.com/spreadsheets/d/1SX6NBoVAgQJ6U1MVXOaj8PK2l7WJ3RER9xtqwdhxkhw/edit?usp=sharing"",""ลพบุรี!I485"")"),0)</f>
        <v>0</v>
      </c>
      <c r="J590" s="188">
        <f ca="1">IFERROR(__xludf.DUMMYFUNCTION("IMPORTRANGE(""https://docs.google.com/spreadsheets/d/1SX6NBoVAgQJ6U1MVXOaj8PK2l7WJ3RER9xtqwdhxkhw/edit?usp=sharing"",""ลพบุรี!J485"")"),2.04)</f>
        <v>2.04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IFERROR(__xludf.DUMMYFUNCTION("IMPORTRANGE(""https://docs.google.com/spreadsheets/d/1SX6NBoVAgQJ6U1MVXOaj8PK2l7WJ3RER9xtqwdhxkhw/edit?usp=sharing"",""ลพบุรี!I486"")"),0)</f>
        <v>0</v>
      </c>
      <c r="J591" s="188">
        <f ca="1">IFERROR(__xludf.DUMMYFUNCTION("IMPORTRANGE(""https://docs.google.com/spreadsheets/d/1SX6NBoVAgQJ6U1MVXOaj8PK2l7WJ3RER9xtqwdhxkhw/edit?usp=sharing"",""ลพบุรี!J486"")"),6)</f>
        <v>6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IFERROR(__xludf.DUMMYFUNCTION("IMPORTRANGE(""https://docs.google.com/spreadsheets/d/1SX6NBoVAgQJ6U1MVXOaj8PK2l7WJ3RER9xtqwdhxkhw/edit?usp=sharing"",""ลพบุรี!I487"")"),0)</f>
        <v>0</v>
      </c>
      <c r="J592" s="188">
        <f ca="1">IFERROR(__xludf.DUMMYFUNCTION("IMPORTRANGE(""https://docs.google.com/spreadsheets/d/1SX6NBoVAgQJ6U1MVXOaj8PK2l7WJ3RER9xtqwdhxkhw/edit?usp=sharing"",""ลพบุรี!J487"")"),2.7)</f>
        <v>2.7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IFERROR(__xludf.DUMMYFUNCTION("IMPORTRANGE(""https://docs.google.com/spreadsheets/d/1SX6NBoVAgQJ6U1MVXOaj8PK2l7WJ3RER9xtqwdhxkhw/edit?usp=sharing"",""ลพบุรี!I488"")"),0)</f>
        <v>0</v>
      </c>
      <c r="J593" s="188">
        <f ca="1">IFERROR(__xludf.DUMMYFUNCTION("IMPORTRANGE(""https://docs.google.com/spreadsheets/d/1SX6NBoVAgQJ6U1MVXOaj8PK2l7WJ3RER9xtqwdhxkhw/edit?usp=sharing"",""ลพบุรี!J488"")"),1)</f>
        <v>1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IFERROR(__xludf.DUMMYFUNCTION("IMPORTRANGE(""https://docs.google.com/spreadsheets/d/1SX6NBoVAgQJ6U1MVXOaj8PK2l7WJ3RER9xtqwdhxkhw/edit?usp=sharing"",""ลพบุรี!I489"")"),0)</f>
        <v>0</v>
      </c>
      <c r="J594" s="188">
        <f ca="1">IFERROR(__xludf.DUMMYFUNCTION("IMPORTRANGE(""https://docs.google.com/spreadsheets/d/1SX6NBoVAgQJ6U1MVXOaj8PK2l7WJ3RER9xtqwdhxkhw/edit?usp=sharing"",""ลพบุรี!J489"")"),0.59)</f>
        <v>0.59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IFERROR(__xludf.DUMMYFUNCTION("IMPORTRANGE(""https://docs.google.com/spreadsheets/d/1SX6NBoVAgQJ6U1MVXOaj8PK2l7WJ3RER9xtqwdhxkhw/edit?usp=sharing"",""ลพบุรี!I490"")"),0)</f>
        <v>0</v>
      </c>
      <c r="J595" s="188">
        <f ca="1">IFERROR(__xludf.DUMMYFUNCTION("IMPORTRANGE(""https://docs.google.com/spreadsheets/d/1SX6NBoVAgQJ6U1MVXOaj8PK2l7WJ3RER9xtqwdhxkhw/edit?usp=sharing"",""ลพบุรี!J490"")"),3)</f>
        <v>3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IFERROR(__xludf.DUMMYFUNCTION("IMPORTRANGE(""https://docs.google.com/spreadsheets/d/1SX6NBoVAgQJ6U1MVXOaj8PK2l7WJ3RER9xtqwdhxkhw/edit?usp=sharing"",""ลพบุรี!I491"")"),0)</f>
        <v>0</v>
      </c>
      <c r="J596" s="242">
        <f ca="1">IFERROR(__xludf.DUMMYFUNCTION("IMPORTRANGE(""https://docs.google.com/spreadsheets/d/1SX6NBoVAgQJ6U1MVXOaj8PK2l7WJ3RER9xtqwdhxkhw/edit?usp=sharing"",""ลพบุรี!J491"")"),1.51)</f>
        <v>1.51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IFERROR(__xludf.DUMMYFUNCTION("IMPORTRANGE(""https://docs.google.com/spreadsheets/d/1SX6NBoVAgQJ6U1MVXOaj8PK2l7WJ3RER9xtqwdhxkhw/edit?usp=sharing"",""ลพบุรี!I492"")"),100)</f>
        <v>100</v>
      </c>
      <c r="J597" s="488">
        <f ca="1">IFERROR(__xludf.DUMMYFUNCTION("IMPORTRANGE(""https://docs.google.com/spreadsheets/d/1SX6NBoVAgQJ6U1MVXOaj8PK2l7WJ3RER9xtqwdhxkhw/edit?usp=sharing"",""ลพบุรี!J492"")"),0)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IFERROR(__xludf.DUMMYFUNCTION("IMPORTRANGE(""https://docs.google.com/spreadsheets/d/1SX6NBoVAgQJ6U1MVXOaj8PK2l7WJ3RER9xtqwdhxkhw/edit?usp=sharing"",""ลพบุรี!L492"")"),8900)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IFERROR(__xludf.DUMMYFUNCTION("IMPORTRANGE(""https://docs.google.com/spreadsheets/d/1SX6NBoVAgQJ6U1MVXOaj8PK2l7WJ3RER9xtqwdhxkhw/edit?usp=sharing"",""ลพบุรี!M492"")"),648)</f>
        <v>648</v>
      </c>
      <c r="O597" s="412">
        <f t="shared" ref="O597:O601" ca="1" si="126">+IF(L597&gt;0,N597*100/L597,0)</f>
        <v>7.2808988764044944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IFERROR(__xludf.DUMMYFUNCTION("IMPORTRANGE(""https://docs.google.com/spreadsheets/d/1SX6NBoVAgQJ6U1MVXOaj8PK2l7WJ3RER9xtqwdhxkhw/edit?usp=sharing"",""ลพบุรี!L493"")"),0)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IFERROR(__xludf.DUMMYFUNCTION("IMPORTRANGE(""https://docs.google.com/spreadsheets/d/1SX6NBoVAgQJ6U1MVXOaj8PK2l7WJ3RER9xtqwdhxkhw/edit?usp=sharing"",""ลพบุรี!M493"")"),0)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IFERROR(__xludf.DUMMYFUNCTION("IMPORTRANGE(""https://docs.google.com/spreadsheets/d/1SX6NBoVAgQJ6U1MVXOaj8PK2l7WJ3RER9xtqwdhxkhw/edit?usp=sharing"",""ลพบุรี!L494"")"),8900)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IFERROR(__xludf.DUMMYFUNCTION("IMPORTRANGE(""https://docs.google.com/spreadsheets/d/1SX6NBoVAgQJ6U1MVXOaj8PK2l7WJ3RER9xtqwdhxkhw/edit?usp=sharing"",""ลพบุรี!M494"")"),648)</f>
        <v>648</v>
      </c>
      <c r="O599" s="169">
        <f t="shared" ca="1" si="126"/>
        <v>7.2808988764044944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IFERROR(__xludf.DUMMYFUNCTION("IMPORTRANGE(""https://docs.google.com/spreadsheets/d/1SX6NBoVAgQJ6U1MVXOaj8PK2l7WJ3RER9xtqwdhxkhw/edit?usp=sharing"",""ลพบุรี!L495"")"),0)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IFERROR(__xludf.DUMMYFUNCTION("IMPORTRANGE(""https://docs.google.com/spreadsheets/d/1SX6NBoVAgQJ6U1MVXOaj8PK2l7WJ3RER9xtqwdhxkhw/edit?usp=sharing"",""ลพบุรี!M495"")"),0)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IFERROR(__xludf.DUMMYFUNCTION("IMPORTRANGE(""https://docs.google.com/spreadsheets/d/1SX6NBoVAgQJ6U1MVXOaj8PK2l7WJ3RER9xtqwdhxkhw/edit?usp=sharing"",""ลพบุรี!L496"")"),8900)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IFERROR(__xludf.DUMMYFUNCTION("IMPORTRANGE(""https://docs.google.com/spreadsheets/d/1SX6NBoVAgQJ6U1MVXOaj8PK2l7WJ3RER9xtqwdhxkhw/edit?usp=sharing"",""ลพบุรี!M496"")"),648)</f>
        <v>648</v>
      </c>
      <c r="O601" s="169">
        <f t="shared" ca="1" si="126"/>
        <v>7.2808988764044944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IFERROR(__xludf.DUMMYFUNCTION("IMPORTRANGE(""https://docs.google.com/spreadsheets/d/1SX6NBoVAgQJ6U1MVXOaj8PK2l7WJ3RER9xtqwdhxkhw/edit?usp=sharing"",""ลพบุรี!M497"")"),0)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IFERROR(__xludf.DUMMYFUNCTION("IMPORTRANGE(""https://docs.google.com/spreadsheets/d/1SX6NBoVAgQJ6U1MVXOaj8PK2l7WJ3RER9xtqwdhxkhw/edit?usp=sharing"",""ลพบุรี!M498"")"),0)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IFERROR(__xludf.DUMMYFUNCTION("IMPORTRANGE(""https://docs.google.com/spreadsheets/d/1SX6NBoVAgQJ6U1MVXOaj8PK2l7WJ3RER9xtqwdhxkhw/edit?usp=sharing"",""ลพบุรี!M499"")"),0)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IFERROR(__xludf.DUMMYFUNCTION("IMPORTRANGE(""https://docs.google.com/spreadsheets/d/1SX6NBoVAgQJ6U1MVXOaj8PK2l7WJ3RER9xtqwdhxkhw/edit?usp=sharing"",""ลพบุรี!M500"")"),648)</f>
        <v>648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IFERROR(__xludf.DUMMYFUNCTION("IMPORTRANGE(""https://docs.google.com/spreadsheets/d/1SX6NBoVAgQJ6U1MVXOaj8PK2l7WJ3RER9xtqwdhxkhw/edit?usp=sharing"",""ลพบุรี!J502"")"),0)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IFERROR(__xludf.DUMMYFUNCTION("IMPORTRANGE(""https://docs.google.com/spreadsheets/d/1SX6NBoVAgQJ6U1MVXOaj8PK2l7WJ3RER9xtqwdhxkhw/edit?usp=sharing"",""ลพบุรี!J503"")"),1)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IFERROR(__xludf.DUMMYFUNCTION("IMPORTRANGE(""https://docs.google.com/spreadsheets/d/1SX6NBoVAgQJ6U1MVXOaj8PK2l7WJ3RER9xtqwdhxkhw/edit?usp=sharing"",""ลพบุรี!J166"")"),0)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IFERROR(__xludf.DUMMYFUNCTION("IMPORTRANGE(""https://docs.google.com/spreadsheets/d/1SX6NBoVAgQJ6U1MVXOaj8PK2l7WJ3RER9xtqwdhxkhw/edit?usp=sharing"",""ลพบุรี!J166"")"),0)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IFERROR(__xludf.DUMMYFUNCTION("IMPORTRANGE(""https://docs.google.com/spreadsheets/d/1SX6NBoVAgQJ6U1MVXOaj8PK2l7WJ3RER9xtqwdhxkhw/edit?usp=sharing"",""ลพบุรี!I506"")"),100)</f>
        <v>100</v>
      </c>
      <c r="J611" s="162">
        <f ca="1">IFERROR(__xludf.DUMMYFUNCTION("IMPORTRANGE(""https://docs.google.com/spreadsheets/d/1SX6NBoVAgQJ6U1MVXOaj8PK2l7WJ3RER9xtqwdhxkhw/edit?usp=sharing"",""ลพบุรี!J506"")"),0)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IFERROR(__xludf.DUMMYFUNCTION("IMPORTRANGE(""https://docs.google.com/spreadsheets/d/1SX6NBoVAgQJ6U1MVXOaj8PK2l7WJ3RER9xtqwdhxkhw/edit?usp=sharing"",""ลพบุรี!I507"")"),0)</f>
        <v>0</v>
      </c>
      <c r="J612" s="198">
        <f ca="1">IFERROR(__xludf.DUMMYFUNCTION("IMPORTRANGE(""https://docs.google.com/spreadsheets/d/1SX6NBoVAgQJ6U1MVXOaj8PK2l7WJ3RER9xtqwdhxkhw/edit?usp=sharing"",""ลพบุรี!J507"")"),150)</f>
        <v>150</v>
      </c>
      <c r="K612" s="163">
        <f t="shared" ca="1" si="127"/>
        <v>150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IFERROR(__xludf.DUMMYFUNCTION("IMPORTRANGE(""https://docs.google.com/spreadsheets/d/1SX6NBoVAgQJ6U1MVXOaj8PK2l7WJ3RER9xtqwdhxkhw/edit?usp=sharing"",""ลพบุรี!I508"")"),0)</f>
        <v>0</v>
      </c>
      <c r="J613" s="198">
        <f ca="1">IFERROR(__xludf.DUMMYFUNCTION("IMPORTRANGE(""https://docs.google.com/spreadsheets/d/1SX6NBoVAgQJ6U1MVXOaj8PK2l7WJ3RER9xtqwdhxkhw/edit?usp=sharing"",""ลพบุรี!J508"")"),150)</f>
        <v>150</v>
      </c>
      <c r="K613" s="163">
        <f t="shared" ca="1" si="127"/>
        <v>150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IFERROR(__xludf.DUMMYFUNCTION("IMPORTRANGE(""https://docs.google.com/spreadsheets/d/1SX6NBoVAgQJ6U1MVXOaj8PK2l7WJ3RER9xtqwdhxkhw/edit?usp=sharing"",""ลพบุรี!I509"")"),0)</f>
        <v>0</v>
      </c>
      <c r="J614" s="198">
        <f ca="1">IFERROR(__xludf.DUMMYFUNCTION("IMPORTRANGE(""https://docs.google.com/spreadsheets/d/1SX6NBoVAgQJ6U1MVXOaj8PK2l7WJ3RER9xtqwdhxkhw/edit?usp=sharing"",""ลพบุรี!J509"")"),150)</f>
        <v>150</v>
      </c>
      <c r="K614" s="163">
        <f t="shared" ca="1" si="127"/>
        <v>150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IFERROR(__xludf.DUMMYFUNCTION("IMPORTRANGE(""https://docs.google.com/spreadsheets/d/1SX6NBoVAgQJ6U1MVXOaj8PK2l7WJ3RER9xtqwdhxkhw/edit?usp=sharing"",""ลพบุรี!I510"")"),0)</f>
        <v>0</v>
      </c>
      <c r="J615" s="198">
        <f ca="1">IFERROR(__xludf.DUMMYFUNCTION("IMPORTRANGE(""https://docs.google.com/spreadsheets/d/1SX6NBoVAgQJ6U1MVXOaj8PK2l7WJ3RER9xtqwdhxkhw/edit?usp=sharing"",""ลพบุรี!J510"")"),150)</f>
        <v>150</v>
      </c>
      <c r="K615" s="163">
        <f t="shared" ca="1" si="127"/>
        <v>150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IFERROR(__xludf.DUMMYFUNCTION("IMPORTRANGE(""https://docs.google.com/spreadsheets/d/1SX6NBoVAgQJ6U1MVXOaj8PK2l7WJ3RER9xtqwdhxkhw/edit?usp=sharing"",""ลพบุรี!I511"")"),0)</f>
        <v>0</v>
      </c>
      <c r="J616" s="198">
        <f ca="1">IFERROR(__xludf.DUMMYFUNCTION("IMPORTRANGE(""https://docs.google.com/spreadsheets/d/1SX6NBoVAgQJ6U1MVXOaj8PK2l7WJ3RER9xtqwdhxkhw/edit?usp=sharing"",""ลพบุรี!J511"")"),0)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IFERROR(__xludf.DUMMYFUNCTION("IMPORTRANGE(""https://docs.google.com/spreadsheets/d/1SX6NBoVAgQJ6U1MVXOaj8PK2l7WJ3RER9xtqwdhxkhw/edit?usp=sharing"",""ลพบุรี!I512"")"),0)</f>
        <v>0</v>
      </c>
      <c r="J617" s="188">
        <f ca="1">IFERROR(__xludf.DUMMYFUNCTION("IMPORTRANGE(""https://docs.google.com/spreadsheets/d/1SX6NBoVAgQJ6U1MVXOaj8PK2l7WJ3RER9xtqwdhxkhw/edit?usp=sharing"",""ลพบุรี!J512"")"),0)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IFERROR(__xludf.DUMMYFUNCTION("IMPORTRANGE(""https://docs.google.com/spreadsheets/d/1SX6NBoVAgQJ6U1MVXOaj8PK2l7WJ3RER9xtqwdhxkhw/edit?usp=sharing"",""ลพบุรี!I513"")"),0)</f>
        <v>0</v>
      </c>
      <c r="J618" s="189">
        <f ca="1">IFERROR(__xludf.DUMMYFUNCTION("IMPORTRANGE(""https://docs.google.com/spreadsheets/d/1SX6NBoVAgQJ6U1MVXOaj8PK2l7WJ3RER9xtqwdhxkhw/edit?usp=sharing"",""ลพบุรี!J513"")"),0)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IFERROR(__xludf.DUMMYFUNCTION("IMPORTRANGE(""https://docs.google.com/spreadsheets/d/1SX6NBoVAgQJ6U1MVXOaj8PK2l7WJ3RER9xtqwdhxkhw/edit?usp=sharing"",""ลพบุรี!I514"")"),0)</f>
        <v>0</v>
      </c>
      <c r="J619" s="189">
        <f ca="1">IFERROR(__xludf.DUMMYFUNCTION("IMPORTRANGE(""https://docs.google.com/spreadsheets/d/1SX6NBoVAgQJ6U1MVXOaj8PK2l7WJ3RER9xtqwdhxkhw/edit?usp=sharing"",""ลพบุรี!J514"")"),0)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IFERROR(__xludf.DUMMYFUNCTION("IMPORTRANGE(""https://docs.google.com/spreadsheets/d/1SX6NBoVAgQJ6U1MVXOaj8PK2l7WJ3RER9xtqwdhxkhw/edit?usp=sharing"",""ลพบุรี!I515"")"),760)</f>
        <v>760</v>
      </c>
      <c r="J620" s="203">
        <f ca="1">IFERROR(__xludf.DUMMYFUNCTION("IMPORTRANGE(""https://docs.google.com/spreadsheets/d/1SX6NBoVAgQJ6U1MVXOaj8PK2l7WJ3RER9xtqwdhxkhw/edit?usp=sharing"",""ลพบุรี!J515"")"),0)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IFERROR(__xludf.DUMMYFUNCTION("IMPORTRANGE(""https://docs.google.com/spreadsheets/d/1SX6NBoVAgQJ6U1MVXOaj8PK2l7WJ3RER9xtqwdhxkhw/edit?usp=sharing"",""ลพบุรี!I516"")"),0)</f>
        <v>0</v>
      </c>
      <c r="J621" s="203">
        <f ca="1">IFERROR(__xludf.DUMMYFUNCTION("IMPORTRANGE(""https://docs.google.com/spreadsheets/d/1SX6NBoVAgQJ6U1MVXOaj8PK2l7WJ3RER9xtqwdhxkhw/edit?usp=sharing"",""ลพบุรี!J516"")"),0)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IFERROR(__xludf.DUMMYFUNCTION("IMPORTRANGE(""https://docs.google.com/spreadsheets/d/1SX6NBoVAgQJ6U1MVXOaj8PK2l7WJ3RER9xtqwdhxkhw/edit?usp=sharing"",""ลพบุรี!I517"")"),0)</f>
        <v>0</v>
      </c>
      <c r="J622" s="189">
        <f ca="1">IFERROR(__xludf.DUMMYFUNCTION("IMPORTRANGE(""https://docs.google.com/spreadsheets/d/1SX6NBoVAgQJ6U1MVXOaj8PK2l7WJ3RER9xtqwdhxkhw/edit?usp=sharing"",""ลพบุรี!J517"")"),0)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IFERROR(__xludf.DUMMYFUNCTION("IMPORTRANGE(""https://docs.google.com/spreadsheets/d/1SX6NBoVAgQJ6U1MVXOaj8PK2l7WJ3RER9xtqwdhxkhw/edit?usp=sharing"",""ลพบุรี!I518"")"),0)</f>
        <v>0</v>
      </c>
      <c r="J623" s="189">
        <f ca="1">IFERROR(__xludf.DUMMYFUNCTION("IMPORTRANGE(""https://docs.google.com/spreadsheets/d/1SX6NBoVAgQJ6U1MVXOaj8PK2l7WJ3RER9xtqwdhxkhw/edit?usp=sharing"",""ลพบุรี!J518"")"),0)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IFERROR(__xludf.DUMMYFUNCTION("IMPORTRANGE(""https://docs.google.com/spreadsheets/d/1SX6NBoVAgQJ6U1MVXOaj8PK2l7WJ3RER9xtqwdhxkhw/edit?usp=sharing"",""ลพบุรี!I519"")"),0)</f>
        <v>0</v>
      </c>
      <c r="J624" s="188">
        <f ca="1">IFERROR(__xludf.DUMMYFUNCTION("IMPORTRANGE(""https://docs.google.com/spreadsheets/d/1SX6NBoVAgQJ6U1MVXOaj8PK2l7WJ3RER9xtqwdhxkhw/edit?usp=sharing"",""ลพบุรี!J519"")"),0)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IFERROR(__xludf.DUMMYFUNCTION("IMPORTRANGE(""https://docs.google.com/spreadsheets/d/1SX6NBoVAgQJ6U1MVXOaj8PK2l7WJ3RER9xtqwdhxkhw/edit?usp=sharing"",""ลพบุรี!I520"")"),0)</f>
        <v>0</v>
      </c>
      <c r="J625" s="189">
        <f ca="1">IFERROR(__xludf.DUMMYFUNCTION("IMPORTRANGE(""https://docs.google.com/spreadsheets/d/1SX6NBoVAgQJ6U1MVXOaj8PK2l7WJ3RER9xtqwdhxkhw/edit?usp=sharing"",""ลพบุรี!J520"")"),0)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IFERROR(__xludf.DUMMYFUNCTION("IMPORTRANGE(""https://docs.google.com/spreadsheets/d/1SX6NBoVAgQJ6U1MVXOaj8PK2l7WJ3RER9xtqwdhxkhw/edit?usp=sharing"",""ลพบุรี!I521"")"),0)</f>
        <v>0</v>
      </c>
      <c r="J626" s="189">
        <f ca="1">IFERROR(__xludf.DUMMYFUNCTION("IMPORTRANGE(""https://docs.google.com/spreadsheets/d/1SX6NBoVAgQJ6U1MVXOaj8PK2l7WJ3RER9xtqwdhxkhw/edit?usp=sharing"",""ลพบุรี!J521"")"),0)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2">
        <f ca="1">IFERROR(__xludf.DUMMYFUNCTION("IMPORTRANGE(""https://docs.google.com/spreadsheets/d/1SX6NBoVAgQJ6U1MVXOaj8PK2l7WJ3RER9xtqwdhxkhw/edit?usp=sharing"",""ลพบุรี!J523"")"),8027153.55)</f>
        <v>8027153.5499999998</v>
      </c>
      <c r="K628" s="343">
        <f t="shared" ref="K628:K635" ca="1" si="129">IF(I628&gt;0,J628*100/I628,0)</f>
        <v>73.374420400699051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IFERROR(__xludf.DUMMYFUNCTION("IMPORTRANGE(""https://docs.google.com/spreadsheets/d/1SX6NBoVAgQJ6U1MVXOaj8PK2l7WJ3RER9xtqwdhxkhw/edit?usp=sharing"",""ลพบุรี!I524"")"),387)</f>
        <v>387</v>
      </c>
      <c r="J629" s="342">
        <f ca="1">IFERROR(__xludf.DUMMYFUNCTION("IMPORTRANGE(""https://docs.google.com/spreadsheets/d/1SX6NBoVAgQJ6U1MVXOaj8PK2l7WJ3RER9xtqwdhxkhw/edit?usp=sharing"",""ลพบุรี!J524"")"),291)</f>
        <v>291</v>
      </c>
      <c r="K629" s="343">
        <f t="shared" ca="1" si="129"/>
        <v>75.193798449612402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2">
        <f ca="1">IFERROR(__xludf.DUMMYFUNCTION("IMPORTRANGE(""https://docs.google.com/spreadsheets/d/1SX6NBoVAgQJ6U1MVXOaj8PK2l7WJ3RER9xtqwdhxkhw/edit?usp=sharing"",""ลพบุรี!J525"")"),520482.53)</f>
        <v>520482.53</v>
      </c>
      <c r="K630" s="343">
        <f t="shared" ca="1" si="129"/>
        <v>7.8914244432660707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IFERROR(__xludf.DUMMYFUNCTION("IMPORTRANGE(""https://docs.google.com/spreadsheets/d/1SX6NBoVAgQJ6U1MVXOaj8PK2l7WJ3RER9xtqwdhxkhw/edit?usp=sharing"",""ลพบุรี!I526"")"),307)</f>
        <v>307</v>
      </c>
      <c r="J631" s="342">
        <f ca="1">IFERROR(__xludf.DUMMYFUNCTION("IMPORTRANGE(""https://docs.google.com/spreadsheets/d/1SX6NBoVAgQJ6U1MVXOaj8PK2l7WJ3RER9xtqwdhxkhw/edit?usp=sharing"",""ลพบุรี!J526"")"),64)</f>
        <v>64</v>
      </c>
      <c r="K631" s="343">
        <f t="shared" ca="1" si="129"/>
        <v>20.846905537459282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IFERROR(__xludf.DUMMYFUNCTION("IMPORTRANGE(""https://docs.google.com/spreadsheets/d/1SX6NBoVAgQJ6U1MVXOaj8PK2l7WJ3RER9xtqwdhxkhw/edit?usp=sharing"",""ลพบุรี!I527"")"),10071385.83)</f>
        <v>10071385.83</v>
      </c>
      <c r="J632" s="342">
        <f ca="1">IFERROR(__xludf.DUMMYFUNCTION("IMPORTRANGE(""https://docs.google.com/spreadsheets/d/1SX6NBoVAgQJ6U1MVXOaj8PK2l7WJ3RER9xtqwdhxkhw/edit?usp=sharing"",""ลพบุรี!J527"")"),2826445.09)</f>
        <v>2826445.09</v>
      </c>
      <c r="K632" s="343">
        <f t="shared" ca="1" si="129"/>
        <v>28.06411290073672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IFERROR(__xludf.DUMMYFUNCTION("IMPORTRANGE(""https://docs.google.com/spreadsheets/d/1SX6NBoVAgQJ6U1MVXOaj8PK2l7WJ3RER9xtqwdhxkhw/edit?usp=sharing"",""ลพบุรี!I528"")"),1083)</f>
        <v>1083</v>
      </c>
      <c r="J633" s="342">
        <f ca="1">IFERROR(__xludf.DUMMYFUNCTION("IMPORTRANGE(""https://docs.google.com/spreadsheets/d/1SX6NBoVAgQJ6U1MVXOaj8PK2l7WJ3RER9xtqwdhxkhw/edit?usp=sharing"",""ลพบุรี!J528"")"),587)</f>
        <v>587</v>
      </c>
      <c r="K633" s="343">
        <f t="shared" ca="1" si="129"/>
        <v>54.201292705447827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IFERROR(__xludf.DUMMYFUNCTION("IMPORTRANGE(""https://docs.google.com/spreadsheets/d/1SX6NBoVAgQJ6U1MVXOaj8PK2l7WJ3RER9xtqwdhxkhw/edit?usp=sharing"",""ลพบุรี!I529"")"),10000000)</f>
        <v>10000000</v>
      </c>
      <c r="J634" s="342">
        <f ca="1">IFERROR(__xludf.DUMMYFUNCTION("IMPORTRANGE(""https://docs.google.com/spreadsheets/d/1SX6NBoVAgQJ6U1MVXOaj8PK2l7WJ3RER9xtqwdhxkhw/edit?usp=sharing"",""ลพบุรี!J529"")"),8050000)</f>
        <v>8050000</v>
      </c>
      <c r="K634" s="343">
        <f t="shared" ca="1" si="129"/>
        <v>80.5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IFERROR(__xludf.DUMMYFUNCTION("IMPORTRANGE(""https://docs.google.com/spreadsheets/d/1SX6NBoVAgQJ6U1MVXOaj8PK2l7WJ3RER9xtqwdhxkhw/edit?usp=sharing"",""ลพบุรี!I530"")"),333)</f>
        <v>333</v>
      </c>
      <c r="J635" s="505">
        <f ca="1">IFERROR(__xludf.DUMMYFUNCTION("IMPORTRANGE(""https://docs.google.com/spreadsheets/d/1SX6NBoVAgQJ6U1MVXOaj8PK2l7WJ3RER9xtqwdhxkhw/edit?usp=sharing"",""ลพบุรี!J530"")"),252)</f>
        <v>252</v>
      </c>
      <c r="K635" s="487">
        <f t="shared" ca="1" si="129"/>
        <v>75.675675675675677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41700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41700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41700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IFERROR(__xludf.DUMMYFUNCTION("IMPORTRANGE(""https://docs.google.com/spreadsheets/d/1SX6NBoVAgQJ6U1MVXOaj8PK2l7WJ3RER9xtqwdhxkhw/edit#gid=346597447"",""ลพบุรี!J541"")"),0)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IFERROR(__xludf.DUMMYFUNCTION("IMPORTRANGE(""https://docs.google.com/spreadsheets/d/1SX6NBoVAgQJ6U1MVXOaj8PK2l7WJ3RER9xtqwdhxkhw/edit#gid=346597447"",""ลพบุรี!J542"")"),0)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IFERROR(__xludf.DUMMYFUNCTION("IMPORTRANGE(""https://docs.google.com/spreadsheets/d/1SX6NBoVAgQJ6U1MVXOaj8PK2l7WJ3RER9xtqwdhxkhw/edit#gid=346597447"",""ลพบุรี!I543"")"),227)</f>
        <v>227</v>
      </c>
      <c r="J648" s="537">
        <f ca="1">IFERROR(__xludf.DUMMYFUNCTION("IMPORTRANGE(""https://docs.google.com/spreadsheets/d/1SX6NBoVAgQJ6U1MVXOaj8PK2l7WJ3RER9xtqwdhxkhw/edit#gid=346597447"",""ลพบุรี!J543"")"),0)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IFERROR(__xludf.DUMMYFUNCTION("IMPORTRANGE(""https://docs.google.com/spreadsheets/d/1SX6NBoVAgQJ6U1MVXOaj8PK2l7WJ3RER9xtqwdhxkhw/edit#gid=346597447"",""ลพบุรี!L543"")"),18160)</f>
        <v>18160</v>
      </c>
      <c r="M648" s="522"/>
      <c r="N648" s="539">
        <f ca="1">IFERROR(__xludf.DUMMYFUNCTION("IMPORTRANGE(""https://docs.google.com/spreadsheets/d/1SX6NBoVAgQJ6U1MVXOaj8PK2l7WJ3RER9xtqwdhxkhw/edit#gid=346597447"",""ลพบุรี!M543"")"),0)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IFERROR(__xludf.DUMMYFUNCTION("IMPORTRANGE(""https://docs.google.com/spreadsheets/d/1SX6NBoVAgQJ6U1MVXOaj8PK2l7WJ3RER9xtqwdhxkhw/edit#gid=346597447"",""ลพบุรี!I544"")"),3)</f>
        <v>3</v>
      </c>
      <c r="J649" s="537">
        <f ca="1">IFERROR(__xludf.DUMMYFUNCTION("IMPORTRANGE(""https://docs.google.com/spreadsheets/d/1SX6NBoVAgQJ6U1MVXOaj8PK2l7WJ3RER9xtqwdhxkhw/edit#gid=346597447"",""ลพบุรี!J544"")"),0)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IFERROR(__xludf.DUMMYFUNCTION("IMPORTRANGE(""https://docs.google.com/spreadsheets/d/1SX6NBoVAgQJ6U1MVXOaj8PK2l7WJ3RER9xtqwdhxkhw/edit#gid=346597447"",""ลพบุรี!L544"")"),360)</f>
        <v>360</v>
      </c>
      <c r="M649" s="522"/>
      <c r="N649" s="539">
        <f ca="1">IFERROR(__xludf.DUMMYFUNCTION("IMPORTRANGE(""https://docs.google.com/spreadsheets/d/1SX6NBoVAgQJ6U1MVXOaj8PK2l7WJ3RER9xtqwdhxkhw/edit#gid=346597447"",""ลพบุรี!M544"")"),0)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IFERROR(__xludf.DUMMYFUNCTION("IMPORTRANGE(""https://docs.google.com/spreadsheets/d/1SX6NBoVAgQJ6U1MVXOaj8PK2l7WJ3RER9xtqwdhxkhw/edit#gid=346597447"",""ลพบุรี!I545"")"),50)</f>
        <v>50</v>
      </c>
      <c r="J650" s="537">
        <f ca="1">IFERROR(__xludf.DUMMYFUNCTION("IMPORTRANGE(""https://docs.google.com/spreadsheets/d/1SX6NBoVAgQJ6U1MVXOaj8PK2l7WJ3RER9xtqwdhxkhw/edit#gid=346597447"",""ลพบุรี!J545"")"),0)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IFERROR(__xludf.DUMMYFUNCTION("IMPORTRANGE(""https://docs.google.com/spreadsheets/d/1SX6NBoVAgQJ6U1MVXOaj8PK2l7WJ3RER9xtqwdhxkhw/edit#gid=346597447"",""ลพบุรี!L545"")"),250)</f>
        <v>250</v>
      </c>
      <c r="M650" s="522"/>
      <c r="N650" s="539">
        <f ca="1">IFERROR(__xludf.DUMMYFUNCTION("IMPORTRANGE(""https://docs.google.com/spreadsheets/d/1SX6NBoVAgQJ6U1MVXOaj8PK2l7WJ3RER9xtqwdhxkhw/edit#gid=346597447"",""ลพบุรี!M545"")"),0)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IFERROR(__xludf.DUMMYFUNCTION("IMPORTRANGE(""https://docs.google.com/spreadsheets/d/1SX6NBoVAgQJ6U1MVXOaj8PK2l7WJ3RER9xtqwdhxkhw/edit#gid=346597447"",""ลพบุรี!I546"")"),50)</f>
        <v>50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IFERROR(__xludf.DUMMYFUNCTION("IMPORTRANGE(""https://docs.google.com/spreadsheets/d/1SX6NBoVAgQJ6U1MVXOaj8PK2l7WJ3RER9xtqwdhxkhw/edit#gid=346597447"",""ลพบุรี!L546"")"),1250)</f>
        <v>1250</v>
      </c>
      <c r="M651" s="522"/>
      <c r="N651" s="539">
        <f ca="1">IFERROR(__xludf.DUMMYFUNCTION("IMPORTRANGE(""https://docs.google.com/spreadsheets/d/1SX6NBoVAgQJ6U1MVXOaj8PK2l7WJ3RER9xtqwdhxkhw/edit#gid=346597447"",""ลพบุรี!M546"")"),0)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IFERROR(__xludf.DUMMYFUNCTION("IMPORTRANGE(""https://docs.google.com/spreadsheets/d/1SX6NBoVAgQJ6U1MVXOaj8PK2l7WJ3RER9xtqwdhxkhw/edit#gid=346597447"",""ลพบุรี!J547"")"),0)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IFERROR(__xludf.DUMMYFUNCTION("IMPORTRANGE(""https://docs.google.com/spreadsheets/d/1SX6NBoVAgQJ6U1MVXOaj8PK2l7WJ3RER9xtqwdhxkhw/edit#gid=346597447"",""ลพบุรี!J548"")"),0)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IFERROR(__xludf.DUMMYFUNCTION("IMPORTRANGE(""https://docs.google.com/spreadsheets/d/1SX6NBoVAgQJ6U1MVXOaj8PK2l7WJ3RER9xtqwdhxkhw/edit#gid=346597447"",""ลพบุรี!J550"")"),0)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IFERROR(__xludf.DUMMYFUNCTION("IMPORTRANGE(""https://docs.google.com/spreadsheets/d/1SX6NBoVAgQJ6U1MVXOaj8PK2l7WJ3RER9xtqwdhxkhw/edit#gid=346597447"",""ลพบุรี!J551"")"),0)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IFERROR(__xludf.DUMMYFUNCTION("IMPORTRANGE(""https://docs.google.com/spreadsheets/d/1SX6NBoVAgQJ6U1MVXOaj8PK2l7WJ3RER9xtqwdhxkhw/edit#gid=346597447"",""ลพบุรี!J552"")"),0)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IFERROR(__xludf.DUMMYFUNCTION("IMPORTRANGE(""https://docs.google.com/spreadsheets/d/1SX6NBoVAgQJ6U1MVXOaj8PK2l7WJ3RER9xtqwdhxkhw/edit#gid=346597447"",""ลพบุรี!J553"")"),0)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IFERROR(__xludf.DUMMYFUNCTION("IMPORTRANGE(""https://docs.google.com/spreadsheets/d/1SX6NBoVAgQJ6U1MVXOaj8PK2l7WJ3RER9xtqwdhxkhw/edit#gid=346597447"",""ลพบุรี!J554"")"),0)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IFERROR(__xludf.DUMMYFUNCTION("IMPORTRANGE(""https://docs.google.com/spreadsheets/d/1SX6NBoVAgQJ6U1MVXOaj8PK2l7WJ3RER9xtqwdhxkhw/edit#gid=346597447"",""ลพบุรี!J555"")"),0)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IFERROR(__xludf.DUMMYFUNCTION("IMPORTRANGE(""https://docs.google.com/spreadsheets/d/1SX6NBoVAgQJ6U1MVXOaj8PK2l7WJ3RER9xtqwdhxkhw/edit#gid=346597447"",""ลพบุรี!J556"")"),0)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IFERROR(__xludf.DUMMYFUNCTION("IMPORTRANGE(""https://docs.google.com/spreadsheets/d/1SX6NBoVAgQJ6U1MVXOaj8PK2l7WJ3RER9xtqwdhxkhw/edit#gid=346597447"",""ลพบุรี!L556"")"),20000)</f>
        <v>20000</v>
      </c>
      <c r="M661" s="522"/>
      <c r="N661" s="539">
        <f ca="1">IFERROR(__xludf.DUMMYFUNCTION("IMPORTRANGE(""https://docs.google.com/spreadsheets/d/1SX6NBoVAgQJ6U1MVXOaj8PK2l7WJ3RER9xtqwdhxkhw/edit#gid=346597447"",""ลพบุรี!M556"")"),0)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IFERROR(__xludf.DUMMYFUNCTION("IMPORTRANGE(""https://docs.google.com/spreadsheets/d/1SX6NBoVAgQJ6U1MVXOaj8PK2l7WJ3RER9xtqwdhxkhw/edit#gid=346597447"",""ลพบุรี!J557"")"),0)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IFERROR(__xludf.DUMMYFUNCTION("IMPORTRANGE(""https://docs.google.com/spreadsheets/d/1SX6NBoVAgQJ6U1MVXOaj8PK2l7WJ3RER9xtqwdhxkhw/edit#gid=346597447"",""ลพบุรี!I558"")"),500)</f>
        <v>500</v>
      </c>
      <c r="J663" s="537">
        <f ca="1">IFERROR(__xludf.DUMMYFUNCTION("IMPORTRANGE(""https://docs.google.com/spreadsheets/d/1SX6NBoVAgQJ6U1MVXOaj8PK2l7WJ3RER9xtqwdhxkhw/edit#gid=346597447"",""ลพบุรี!J558"")"),0)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IFERROR(__xludf.DUMMYFUNCTION("IMPORTRANGE(""https://docs.google.com/spreadsheets/d/1SX6NBoVAgQJ6U1MVXOaj8PK2l7WJ3RER9xtqwdhxkhw/edit#gid=346597447"",""ลพบุรี!I560"")"),10)</f>
        <v>10</v>
      </c>
      <c r="J665" s="537">
        <f ca="1">IFERROR(__xludf.DUMMYFUNCTION("IMPORTRANGE(""https://docs.google.com/spreadsheets/d/1SX6NBoVAgQJ6U1MVXOaj8PK2l7WJ3RER9xtqwdhxkhw/edit#gid=346597447"",""ลพบุรี!J560"")"),0)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IFERROR(__xludf.DUMMYFUNCTION("IMPORTRANGE(""https://docs.google.com/spreadsheets/d/1SX6NBoVAgQJ6U1MVXOaj8PK2l7WJ3RER9xtqwdhxkhw/edit#gid=346597447"",""ลพบุรี!L560"")"),1200)</f>
        <v>1200</v>
      </c>
      <c r="M665" s="522"/>
      <c r="N665" s="539">
        <f ca="1">IFERROR(__xludf.DUMMYFUNCTION("IMPORTRANGE(""https://docs.google.com/spreadsheets/d/1SX6NBoVAgQJ6U1MVXOaj8PK2l7WJ3RER9xtqwdhxkhw/edit#gid=346597447"",""ลพบุรี!M560"")"),0)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IFERROR(__xludf.DUMMYFUNCTION("IMPORTRANGE(""https://docs.google.com/spreadsheets/d/1SX6NBoVAgQJ6U1MVXOaj8PK2l7WJ3RER9xtqwdhxkhw/edit#gid=346597447"",""ลพบุรี!J561"")"),0)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IFERROR(__xludf.DUMMYFUNCTION("IMPORTRANGE(""https://docs.google.com/spreadsheets/d/1SX6NBoVAgQJ6U1MVXOaj8PK2l7WJ3RER9xtqwdhxkhw/edit#gid=346597447"",""ลพบุรี!J562"")"),0)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IFERROR(__xludf.DUMMYFUNCTION("IMPORTRANGE(""https://docs.google.com/spreadsheets/d/1SX6NBoVAgQJ6U1MVXOaj8PK2l7WJ3RER9xtqwdhxkhw/edit#gid=346597447"",""ลพบุรี!I563"")"),0)</f>
        <v>0</v>
      </c>
      <c r="J668" s="537">
        <f ca="1">IFERROR(__xludf.DUMMYFUNCTION("IMPORTRANGE(""https://docs.google.com/spreadsheets/d/1SX6NBoVAgQJ6U1MVXOaj8PK2l7WJ3RER9xtqwdhxkhw/edit#gid=346597447"",""ลพบุรี!J563"")"),0)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IFERROR(__xludf.DUMMYFUNCTION("IMPORTRANGE(""https://docs.google.com/spreadsheets/d/1SX6NBoVAgQJ6U1MVXOaj8PK2l7WJ3RER9xtqwdhxkhw/edit#gid=346597447"",""ลพบุรี!L563"")"),0)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IFERROR(__xludf.DUMMYFUNCTION("IMPORTRANGE(""https://docs.google.com/spreadsheets/d/1SX6NBoVAgQJ6U1MVXOaj8PK2l7WJ3RER9xtqwdhxkhw/edit#gid=346597447"",""ลพบุรี!M563"")"),0)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IFERROR(__xludf.DUMMYFUNCTION("IMPORTRANGE(""https://docs.google.com/spreadsheets/d/1SX6NBoVAgQJ6U1MVXOaj8PK2l7WJ3RER9xtqwdhxkhw/edit#gid=346597447"",""ลพบุรี!J564"")"),0)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IFERROR(__xludf.DUMMYFUNCTION("IMPORTRANGE(""https://docs.google.com/spreadsheets/d/1SX6NBoVAgQJ6U1MVXOaj8PK2l7WJ3RER9xtqwdhxkhw/edit#gid=346597447"",""ลพบุรี!J565"")"),0)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IFERROR(__xludf.DUMMYFUNCTION("IMPORTRANGE(""https://docs.google.com/spreadsheets/d/1SX6NBoVAgQJ6U1MVXOaj8PK2l7WJ3RER9xtqwdhxkhw/edit#gid=346597447"",""ลพบุรี!I566"")"),6)</f>
        <v>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IFERROR(__xludf.DUMMYFUNCTION("IMPORTRANGE(""https://docs.google.com/spreadsheets/d/1SX6NBoVAgQJ6U1MVXOaj8PK2l7WJ3RER9xtqwdhxkhw/edit#gid=346597447"",""ลพบุรี!L566"")"),480)</f>
        <v>480</v>
      </c>
      <c r="M671" s="522"/>
      <c r="N671" s="539">
        <f ca="1">IFERROR(__xludf.DUMMYFUNCTION("IMPORTRANGE(""https://docs.google.com/spreadsheets/d/1SX6NBoVAgQJ6U1MVXOaj8PK2l7WJ3RER9xtqwdhxkhw/edit#gid=346597447"",""ลพบุรี!M566"")"),0)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IFERROR(__xludf.DUMMYFUNCTION("IMPORTRANGE(""https://docs.google.com/spreadsheets/d/1SX6NBoVAgQJ6U1MVXOaj8PK2l7WJ3RER9xtqwdhxkhw/edit#gid=346597447"",""ลพบุรี!J567"")"),0)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IFERROR(__xludf.DUMMYFUNCTION("IMPORTRANGE(""https://docs.google.com/spreadsheets/d/1SX6NBoVAgQJ6U1MVXOaj8PK2l7WJ3RER9xtqwdhxkhw/edit#gid=346597447"",""ลพบุรี!J568"")"),0)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IFERROR(__xludf.DUMMYFUNCTION("IMPORTRANGE(""https://docs.google.com/spreadsheets/d/1SX6NBoVAgQJ6U1MVXOaj8PK2l7WJ3RER9xtqwdhxkhw/edit#gid=346597447"",""ลพบุรี!J569"")"),0)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IFERROR(__xludf.DUMMYFUNCTION("IMPORTRANGE(""https://docs.google.com/spreadsheets/d/1SX6NBoVAgQJ6U1MVXOaj8PK2l7WJ3RER9xtqwdhxkhw/edit#gid=346597447"",""ลพบุรี!J570"")"),0)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IFERROR(__xludf.DUMMYFUNCTION("IMPORTRANGE(""https://docs.google.com/spreadsheets/d/1SX6NBoVAgQJ6U1MVXOaj8PK2l7WJ3RER9xtqwdhxkhw/edit#gid=346597447"",""ลพบุรี!J571"")"),0)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IFERROR(__xludf.DUMMYFUNCTION("IMPORTRANGE(""https://docs.google.com/spreadsheets/d/1SX6NBoVAgQJ6U1MVXOaj8PK2l7WJ3RER9xtqwdhxkhw/edit#gid=346597447"",""ลพบุรี!J572"")"),0)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7589053</v>
      </c>
      <c r="M8" s="23">
        <f t="shared" ca="1" si="0"/>
        <v>4859339</v>
      </c>
      <c r="N8" s="23">
        <f t="shared" ca="1" si="0"/>
        <v>5552176.0800000001</v>
      </c>
      <c r="O8" s="22">
        <f t="shared" ref="O8:O16" ca="1" si="1">IF(L8&gt;0,N8*100/L8,0)</f>
        <v>73.160328172698229</v>
      </c>
      <c r="P8" s="22">
        <f t="shared" ref="P8:P16" ca="1" si="2">IF(M8&gt;0,N8*100/M8,0)</f>
        <v>114.25784618031382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7589053</v>
      </c>
      <c r="M10" s="30">
        <f t="shared" ca="1" si="4"/>
        <v>4859339</v>
      </c>
      <c r="N10" s="30">
        <f t="shared" ca="1" si="4"/>
        <v>5552176.0800000001</v>
      </c>
      <c r="O10" s="29">
        <f t="shared" ca="1" si="1"/>
        <v>73.160328172698229</v>
      </c>
      <c r="P10" s="29">
        <f t="shared" ca="1" si="2"/>
        <v>114.25784618031382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7394053</v>
      </c>
      <c r="M12" s="38">
        <f t="shared" ca="1" si="6"/>
        <v>4664339</v>
      </c>
      <c r="N12" s="38">
        <f t="shared" ca="1" si="6"/>
        <v>5357176.08</v>
      </c>
      <c r="O12" s="38">
        <f t="shared" ca="1" si="1"/>
        <v>72.452497703221766</v>
      </c>
      <c r="P12" s="38">
        <f t="shared" ca="1" si="2"/>
        <v>114.85391777913226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1924400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5469653</v>
      </c>
      <c r="M14" s="38">
        <f t="shared" si="8"/>
        <v>0</v>
      </c>
      <c r="N14" s="38">
        <f t="shared" ca="1" si="8"/>
        <v>1708790.6199999999</v>
      </c>
      <c r="O14" s="38">
        <f t="shared" ca="1" si="1"/>
        <v>31.241298488222196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4721775</v>
      </c>
      <c r="M18" s="23">
        <f t="shared" ca="1" si="11"/>
        <v>4859339</v>
      </c>
      <c r="N18" s="23">
        <f t="shared" ca="1" si="11"/>
        <v>3843385.46</v>
      </c>
      <c r="O18" s="22">
        <f t="shared" ref="O18:O20" ca="1" si="12">IF(L18&gt;0,N18*100/L18,0)</f>
        <v>81.397047932186524</v>
      </c>
      <c r="P18" s="22">
        <f t="shared" ref="P18:P26" ca="1" si="13">IF(M18&gt;0,N18*100/M18,0)</f>
        <v>79.09276261647932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4721775</v>
      </c>
      <c r="M20" s="30">
        <f t="shared" ca="1" si="15"/>
        <v>4859339</v>
      </c>
      <c r="N20" s="30">
        <f t="shared" ca="1" si="15"/>
        <v>3843385.46</v>
      </c>
      <c r="O20" s="29">
        <f t="shared" ca="1" si="12"/>
        <v>81.397047932186524</v>
      </c>
      <c r="P20" s="29">
        <f t="shared" ca="1" si="13"/>
        <v>79.09276261647932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4526775</v>
      </c>
      <c r="M22" s="41">
        <f t="shared" ca="1" si="18"/>
        <v>4664339</v>
      </c>
      <c r="N22" s="38">
        <f t="shared" ca="1" si="18"/>
        <v>3648385.46</v>
      </c>
      <c r="O22" s="38">
        <f t="shared" ca="1" si="17"/>
        <v>80.595688100247969</v>
      </c>
      <c r="P22" s="38">
        <f t="shared" ca="1" si="13"/>
        <v>78.218702800118081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1924400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2602375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195000</v>
      </c>
      <c r="M26" s="49">
        <f t="shared" ca="1" si="22"/>
        <v>195000</v>
      </c>
      <c r="N26" s="49">
        <f t="shared" ca="1" si="22"/>
        <v>195000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2867278</v>
      </c>
      <c r="M28" s="23">
        <f t="shared" si="23"/>
        <v>0</v>
      </c>
      <c r="N28" s="23">
        <f t="shared" ca="1" si="23"/>
        <v>1708790.6199999999</v>
      </c>
      <c r="O28" s="22">
        <f t="shared" ref="O28:O30" ca="1" si="24">IF(L28&gt;0,N28*100/L28,0)</f>
        <v>59.596265866093205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2867278</v>
      </c>
      <c r="M30" s="30">
        <f t="shared" si="27"/>
        <v>0</v>
      </c>
      <c r="N30" s="30">
        <f t="shared" ca="1" si="27"/>
        <v>1708790.6199999999</v>
      </c>
      <c r="O30" s="29">
        <f t="shared" ca="1" si="24"/>
        <v>59.596265866093205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2867278</v>
      </c>
      <c r="M32" s="38">
        <f t="shared" si="30"/>
        <v>0</v>
      </c>
      <c r="N32" s="38">
        <f t="shared" ca="1" si="30"/>
        <v>1708790.6199999999</v>
      </c>
      <c r="O32" s="38">
        <f t="shared" ca="1" si="29"/>
        <v>59.596265866093205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2867278</v>
      </c>
      <c r="M34" s="38">
        <f t="shared" si="32"/>
        <v>0</v>
      </c>
      <c r="N34" s="38">
        <f t="shared" ca="1" si="32"/>
        <v>1708790.6199999999</v>
      </c>
      <c r="O34" s="38">
        <f t="shared" ca="1" si="29"/>
        <v>59.596265866093205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4721775</v>
      </c>
      <c r="M37" s="54">
        <f t="shared" ca="1" si="33"/>
        <v>4859339</v>
      </c>
      <c r="N37" s="54">
        <f t="shared" ca="1" si="33"/>
        <v>3843385.46</v>
      </c>
      <c r="O37" s="55">
        <f t="shared" ca="1" si="29"/>
        <v>81.397047932186524</v>
      </c>
      <c r="P37" s="55">
        <f t="shared" ca="1" si="25"/>
        <v>79.09276261647932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906900</v>
      </c>
      <c r="N41" s="78">
        <f t="shared" ca="1" si="34"/>
        <v>761631.67</v>
      </c>
      <c r="O41" s="77">
        <f t="shared" ref="O41:O43" ca="1" si="35">IF(L41&gt;0,N41*100/L41,0)</f>
        <v>83.981880030874407</v>
      </c>
      <c r="P41" s="77">
        <f t="shared" ref="P41:P43" ca="1" si="36">IF(M41&gt;0,N41*100/M41,0)</f>
        <v>83.981880030874407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906900</v>
      </c>
      <c r="N43" s="78">
        <f t="shared" ca="1" si="38"/>
        <v>761631.67</v>
      </c>
      <c r="O43" s="77">
        <f t="shared" ca="1" si="35"/>
        <v>83.981880030874407</v>
      </c>
      <c r="P43" s="77">
        <f t="shared" ca="1" si="36"/>
        <v>83.981880030874407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906900</v>
      </c>
      <c r="M45" s="49">
        <f ca="1">IFERROR(__xludf.DUMMYFUNCTION("IMPORTRANGE(""https://docs.google.com/spreadsheets/d/1Yj_ptqi66GCucihVvJfMjLAmec39IyEx_6qawtMGysU/edit?usp=sharing"",""สบก!Q75"")"),906900)</f>
        <v>906900</v>
      </c>
      <c r="N45" s="49">
        <f ca="1">IFERROR(__xludf.DUMMYFUNCTION("IMPORTRANGE(""https://docs.google.com/spreadsheets/d/1Yj_ptqi66GCucihVvJfMjLAmec39IyEx_6qawtMGysU/edit?usp=sharing"",""สบก!R75"")"),761631.67)</f>
        <v>761631.67</v>
      </c>
      <c r="O45" s="38">
        <f ca="1">IF(L45&gt;0,N45*100/L45,0)</f>
        <v>83.981880030874407</v>
      </c>
      <c r="P45" s="38">
        <f ca="1">IF(M45&gt;0,N45*100/M45,0)</f>
        <v>83.981880030874407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IFERROR(__xludf.DUMMYFUNCTION("IMPORTRANGE(""https://docs.google.com/spreadsheets/d/1Yj_ptqi66GCucihVvJfMjLAmec39IyEx_6qawtMGysU/edit?usp=sharing"",""สบก!M75"")"),906900)</f>
        <v>906900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IFERROR(__xludf.DUMMYFUNCTION("IMPORTRANGE(""https://docs.google.com/spreadsheets/d/1Yj_ptqi66GCucihVvJfMjLAmec39IyEx_6qawtMGysU/edit?usp=sharing"",""สบก!O75"")"),0)</f>
        <v>0</v>
      </c>
      <c r="M49" s="49"/>
      <c r="N49" s="49">
        <f ca="1">IFERROR(__xludf.DUMMYFUNCTION("IMPORTRANGE(""https://docs.google.com/spreadsheets/d/1Yj_ptqi66GCucihVvJfMjLAmec39IyEx_6qawtMGysU/edit?usp=sharing"",""สบก!S75"")"),0)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400000</v>
      </c>
      <c r="M53" s="121">
        <f t="shared" ca="1" si="39"/>
        <v>426539</v>
      </c>
      <c r="N53" s="121">
        <f t="shared" ca="1" si="39"/>
        <v>384074.28</v>
      </c>
      <c r="O53" s="120">
        <f t="shared" ref="O53:O55" ca="1" si="40">IF(L53&gt;0,N53*100/L53,0)</f>
        <v>96.018569999999997</v>
      </c>
      <c r="P53" s="120">
        <f t="shared" ref="P53:P55" ca="1" si="41">IF(M53&gt;0,N53*100/M53,0)</f>
        <v>90.04435233354981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400000</v>
      </c>
      <c r="M55" s="121">
        <f t="shared" ca="1" si="43"/>
        <v>426539</v>
      </c>
      <c r="N55" s="121">
        <f t="shared" ca="1" si="43"/>
        <v>384074.28</v>
      </c>
      <c r="O55" s="120">
        <f t="shared" ca="1" si="40"/>
        <v>96.018569999999997</v>
      </c>
      <c r="P55" s="120">
        <f t="shared" ca="1" si="41"/>
        <v>90.04435233354981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400000</v>
      </c>
      <c r="M57" s="49">
        <f ca="1">IFERROR(__xludf.DUMMYFUNCTION("IMPORTRANGE(""https://docs.google.com/spreadsheets/d/1Yj_ptqi66GCucihVvJfMjLAmec39IyEx_6qawtMGysU/edit?usp=sharing"",""สบก!Z75"")"),426539)</f>
        <v>426539</v>
      </c>
      <c r="N57" s="49">
        <f ca="1">IFERROR(__xludf.DUMMYFUNCTION("IMPORTRANGE(""https://docs.google.com/spreadsheets/d/1Yj_ptqi66GCucihVvJfMjLAmec39IyEx_6qawtMGysU/edit?usp=sharing"",""สบก!AA75"")"),384074.28)</f>
        <v>384074.28</v>
      </c>
      <c r="O57" s="38">
        <f ca="1">IF(L57&gt;0,N57*100/L57,0)</f>
        <v>96.018569999999997</v>
      </c>
      <c r="P57" s="38">
        <f ca="1">IF(M57&gt;0,N57*100/M57,0)</f>
        <v>90.04435233354981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IFERROR(__xludf.DUMMYFUNCTION("IMPORTRANGE(""https://docs.google.com/spreadsheets/d/1Yj_ptqi66GCucihVvJfMjLAmec39IyEx_6qawtMGysU/edit?usp=sharing"",""สบก!V75"")"),400000)</f>
        <v>400000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IFERROR(__xludf.DUMMYFUNCTION("IMPORTRANGE(""https://docs.google.com/spreadsheets/d/1Yj_ptqi66GCucihVvJfMjLAmec39IyEx_6qawtMGysU/edit?usp=sharing"",""สบก!X75"")"),0)</f>
        <v>0</v>
      </c>
      <c r="M61" s="49"/>
      <c r="N61" s="49">
        <f ca="1">IFERROR(__xludf.DUMMYFUNCTION("IMPORTRANGE(""https://docs.google.com/spreadsheets/d/1Yj_ptqi66GCucihVvJfMjLAmec39IyEx_6qawtMGysU/edit?usp=sharing"",""สบก!AB75"")"),0)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IFERROR(__xludf.DUMMYFUNCTION("IMPORTRANGE(""https://docs.google.com/spreadsheets/d/1SX6NBoVAgQJ6U1MVXOaj8PK2l7WJ3RER9xtqwdhxkhw/edit?usp=sharing"",""สระแก้ว!I9"")"),1)</f>
        <v>1</v>
      </c>
      <c r="J64" s="142">
        <f ca="1">IFERROR(__xludf.DUMMYFUNCTION("IMPORTRANGE(""https://docs.google.com/spreadsheets/d/1SX6NBoVAgQJ6U1MVXOaj8PK2l7WJ3RER9xtqwdhxkhw/edit?usp=sharing"",""สระแก้ว!J9"")"),1)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IFERROR(__xludf.DUMMYFUNCTION("IMPORTRANGE(""https://docs.google.com/spreadsheets/d/1SX6NBoVAgQJ6U1MVXOaj8PK2l7WJ3RER9xtqwdhxkhw/edit?usp=sharing"",""สระแก้ว!I10"")"),70)</f>
        <v>70</v>
      </c>
      <c r="J65" s="142">
        <f ca="1">IFERROR(__xludf.DUMMYFUNCTION("IMPORTRANGE(""https://docs.google.com/spreadsheets/d/1SX6NBoVAgQJ6U1MVXOaj8PK2l7WJ3RER9xtqwdhxkhw/edit?usp=sharing"",""สระแก้ว!J10"")"),70)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827500</v>
      </c>
      <c r="M66" s="152">
        <f t="shared" ca="1" si="45"/>
        <v>834120</v>
      </c>
      <c r="N66" s="152">
        <f t="shared" ca="1" si="45"/>
        <v>554691.29</v>
      </c>
      <c r="O66" s="151">
        <f t="shared" ref="O66:O68" ca="1" si="46">IF(L66&gt;0,N66*100/L66,0)</f>
        <v>67.032180060422959</v>
      </c>
      <c r="P66" s="151">
        <f t="shared" ref="P66:P68" ca="1" si="47">IF(M66&gt;0,N66*100/M66,0)</f>
        <v>66.50017863137198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827500</v>
      </c>
      <c r="M68" s="157">
        <f t="shared" ca="1" si="49"/>
        <v>834120</v>
      </c>
      <c r="N68" s="157">
        <f t="shared" ca="1" si="49"/>
        <v>554691.29</v>
      </c>
      <c r="O68" s="156">
        <f t="shared" ca="1" si="46"/>
        <v>67.032180060422959</v>
      </c>
      <c r="P68" s="156">
        <f t="shared" ca="1" si="47"/>
        <v>66.50017863137198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779500</v>
      </c>
      <c r="M70" s="168">
        <f ca="1">IFERROR(__xludf.DUMMYFUNCTION("IMPORTRANGE(""https://docs.google.com/spreadsheets/d/1Yj_ptqi66GCucihVvJfMjLAmec39IyEx_6qawtMGysU/edit?usp=sharing"",""สบก!AI75"")"),786120)</f>
        <v>786120</v>
      </c>
      <c r="N70" s="169">
        <f ca="1">IFERROR(__xludf.DUMMYFUNCTION("IMPORTRANGE(""https://docs.google.com/spreadsheets/d/1Yj_ptqi66GCucihVvJfMjLAmec39IyEx_6qawtMGysU/edit?usp=sharing"",""สบก!AJ75"")"),506691.29)</f>
        <v>506691.29</v>
      </c>
      <c r="O70" s="169">
        <f ca="1">IF(L70&gt;0,N70*100/L70,0)</f>
        <v>65.002089801154582</v>
      </c>
      <c r="P70" s="169">
        <f ca="1">IF(M70&gt;0,N70*100/M70,0)</f>
        <v>64.454700300208614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IFERROR(__xludf.DUMMYFUNCTION("IMPORTRANGE(""https://docs.google.com/spreadsheets/d/1Yj_ptqi66GCucihVvJfMjLAmec39IyEx_6qawtMGysU/edit?usp=sharing"",""สบก!AE75"")"),179500)</f>
        <v>179500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IFERROR(__xludf.DUMMYFUNCTION("IMPORTRANGE(""https://docs.google.com/spreadsheets/d/1Yj_ptqi66GCucihVvJfMjLAmec39IyEx_6qawtMGysU/edit?usp=sharing"",""สบก!AF75"")"),600000)</f>
        <v>600000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IFERROR(__xludf.DUMMYFUNCTION("IMPORTRANGE(""https://docs.google.com/spreadsheets/d/1Yj_ptqi66GCucihVvJfMjLAmec39IyEx_6qawtMGysU/edit?usp=sharing"",""สบก!AG75"")"),48000)</f>
        <v>48000</v>
      </c>
      <c r="M74" s="49">
        <f ca="1">L74</f>
        <v>48000</v>
      </c>
      <c r="N74" s="49">
        <f ca="1">IFERROR(__xludf.DUMMYFUNCTION("IMPORTRANGE(""https://docs.google.com/spreadsheets/d/1Yj_ptqi66GCucihVvJfMjLAmec39IyEx_6qawtMGysU/edit?usp=sharing"",""สบก!AK75"")"),48000)</f>
        <v>48000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IFERROR(__xludf.DUMMYFUNCTION("IMPORTRANGE(""https://docs.google.com/spreadsheets/d/1SX6NBoVAgQJ6U1MVXOaj8PK2l7WJ3RER9xtqwdhxkhw/edit?usp=sharing"",""สระแก้ว!J16"")"),0)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IFERROR(__xludf.DUMMYFUNCTION("IMPORTRANGE(""https://docs.google.com/spreadsheets/d/1SX6NBoVAgQJ6U1MVXOaj8PK2l7WJ3RER9xtqwdhxkhw/edit?usp=sharing"",""สระแก้ว!J17"")"),1)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IFERROR(__xludf.DUMMYFUNCTION("IMPORTRANGE(""https://docs.google.com/spreadsheets/d/1SX6NBoVAgQJ6U1MVXOaj8PK2l7WJ3RER9xtqwdhxkhw/edit?usp=sharing"",""สระแก้ว!J18"")"),1)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IFERROR(__xludf.DUMMYFUNCTION("IMPORTRANGE(""https://docs.google.com/spreadsheets/d/1SX6NBoVAgQJ6U1MVXOaj8PK2l7WJ3RER9xtqwdhxkhw/edit?usp=sharing"",""สระแก้ว!J19"")"),1)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IFERROR(__xludf.DUMMYFUNCTION("IMPORTRANGE(""https://docs.google.com/spreadsheets/d/1SX6NBoVAgQJ6U1MVXOaj8PK2l7WJ3RER9xtqwdhxkhw/edit?usp=sharing"",""สระแก้ว!I20"")"),1)</f>
        <v>1</v>
      </c>
      <c r="J80" s="201">
        <f ca="1">IFERROR(__xludf.DUMMYFUNCTION("IMPORTRANGE(""https://docs.google.com/spreadsheets/d/1SX6NBoVAgQJ6U1MVXOaj8PK2l7WJ3RER9xtqwdhxkhw/edit?usp=sharing"",""สระแก้ว!J20"")"),1)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IFERROR(__xludf.DUMMYFUNCTION("IMPORTRANGE(""https://docs.google.com/spreadsheets/d/1SX6NBoVAgQJ6U1MVXOaj8PK2l7WJ3RER9xtqwdhxkhw/edit?usp=sharing"",""สระแก้ว!I21"")"),70)</f>
        <v>70</v>
      </c>
      <c r="J81" s="201">
        <f ca="1">IFERROR(__xludf.DUMMYFUNCTION("IMPORTRANGE(""https://docs.google.com/spreadsheets/d/1SX6NBoVAgQJ6U1MVXOaj8PK2l7WJ3RER9xtqwdhxkhw/edit?usp=sharing"",""สระแก้ว!J21"")"),70)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IFERROR(__xludf.DUMMYFUNCTION("IMPORTRANGE(""https://docs.google.com/spreadsheets/d/1SX6NBoVAgQJ6U1MVXOaj8PK2l7WJ3RER9xtqwdhxkhw/edit?usp=sharing"",""สระแก้ว!I22"")"),1)</f>
        <v>1</v>
      </c>
      <c r="J82" s="204">
        <f ca="1">IFERROR(__xludf.DUMMYFUNCTION("IMPORTRANGE(""https://docs.google.com/spreadsheets/d/1SX6NBoVAgQJ6U1MVXOaj8PK2l7WJ3RER9xtqwdhxkhw/edit?usp=sharing"",""สระแก้ว!J22"")"),1)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IFERROR(__xludf.DUMMYFUNCTION("IMPORTRANGE(""https://docs.google.com/spreadsheets/d/1SX6NBoVAgQJ6U1MVXOaj8PK2l7WJ3RER9xtqwdhxkhw/edit?usp=sharing"",""สระแก้ว!I23"")"),70)</f>
        <v>70</v>
      </c>
      <c r="J83" s="204">
        <f ca="1">IFERROR(__xludf.DUMMYFUNCTION("IMPORTRANGE(""https://docs.google.com/spreadsheets/d/1SX6NBoVAgQJ6U1MVXOaj8PK2l7WJ3RER9xtqwdhxkhw/edit?usp=sharing"",""สระแก้ว!J23"")"),70)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IFERROR(__xludf.DUMMYFUNCTION("IMPORTRANGE(""https://docs.google.com/spreadsheets/d/1SX6NBoVAgQJ6U1MVXOaj8PK2l7WJ3RER9xtqwdhxkhw/edit?usp=sharing"",""สระแก้ว!I24"")"),0)</f>
        <v>0</v>
      </c>
      <c r="J84" s="189">
        <f ca="1">IFERROR(__xludf.DUMMYFUNCTION("IMPORTRANGE(""https://docs.google.com/spreadsheets/d/1SX6NBoVAgQJ6U1MVXOaj8PK2l7WJ3RER9xtqwdhxkhw/edit?usp=sharing"",""สระแก้ว!J24"")"),0)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IFERROR(__xludf.DUMMYFUNCTION("IMPORTRANGE(""https://docs.google.com/spreadsheets/d/1SX6NBoVAgQJ6U1MVXOaj8PK2l7WJ3RER9xtqwdhxkhw/edit?usp=sharing"",""สระแก้ว!I25"")"),0)</f>
        <v>0</v>
      </c>
      <c r="J85" s="189">
        <f ca="1">IFERROR(__xludf.DUMMYFUNCTION("IMPORTRANGE(""https://docs.google.com/spreadsheets/d/1SX6NBoVAgQJ6U1MVXOaj8PK2l7WJ3RER9xtqwdhxkhw/edit?usp=sharing"",""สระแก้ว!J25"")"),0)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IFERROR(__xludf.DUMMYFUNCTION("IMPORTRANGE(""https://docs.google.com/spreadsheets/d/1SX6NBoVAgQJ6U1MVXOaj8PK2l7WJ3RER9xtqwdhxkhw/edit?usp=sharing"",""สระแก้ว!I26"")"),0)</f>
        <v>0</v>
      </c>
      <c r="J86" s="204">
        <f ca="1">IFERROR(__xludf.DUMMYFUNCTION("IMPORTRANGE(""https://docs.google.com/spreadsheets/d/1SX6NBoVAgQJ6U1MVXOaj8PK2l7WJ3RER9xtqwdhxkhw/edit?usp=sharing"",""สระแก้ว!J26"")"),0)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IFERROR(__xludf.DUMMYFUNCTION("IMPORTRANGE(""https://docs.google.com/spreadsheets/d/1SX6NBoVAgQJ6U1MVXOaj8PK2l7WJ3RER9xtqwdhxkhw/edit?usp=sharing"",""สระแก้ว!I27"")"),0)</f>
        <v>0</v>
      </c>
      <c r="J87" s="204">
        <f ca="1">IFERROR(__xludf.DUMMYFUNCTION("IMPORTRANGE(""https://docs.google.com/spreadsheets/d/1SX6NBoVAgQJ6U1MVXOaj8PK2l7WJ3RER9xtqwdhxkhw/edit?usp=sharing"",""สระแก้ว!J27"")"),0)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IFERROR(__xludf.DUMMYFUNCTION("IMPORTRANGE(""https://docs.google.com/spreadsheets/d/1SX6NBoVAgQJ6U1MVXOaj8PK2l7WJ3RER9xtqwdhxkhw/edit?usp=sharing"",""สระแก้ว!I28"")"),1)</f>
        <v>1</v>
      </c>
      <c r="J88" s="204">
        <f ca="1">IFERROR(__xludf.DUMMYFUNCTION("IMPORTRANGE(""https://docs.google.com/spreadsheets/d/1SX6NBoVAgQJ6U1MVXOaj8PK2l7WJ3RER9xtqwdhxkhw/edit?usp=sharing"",""สระแก้ว!J28"")"),1)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IFERROR(__xludf.DUMMYFUNCTION("IMPORTRANGE(""https://docs.google.com/spreadsheets/d/1SX6NBoVAgQJ6U1MVXOaj8PK2l7WJ3RER9xtqwdhxkhw/edit?usp=sharing"",""สระแก้ว!J29"")"),0)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IFERROR(__xludf.DUMMYFUNCTION("IMPORTRANGE(""https://docs.google.com/spreadsheets/d/1SX6NBoVAgQJ6U1MVXOaj8PK2l7WJ3RER9xtqwdhxkhw/edit?usp=sharing"",""สระแก้ว!J30"")"),0)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IFERROR(__xludf.DUMMYFUNCTION("IMPORTRANGE(""https://docs.google.com/spreadsheets/d/1SX6NBoVAgQJ6U1MVXOaj8PK2l7WJ3RER9xtqwdhxkhw/edit?usp=sharing"",""สระแก้ว!I32"")"),0)</f>
        <v>0</v>
      </c>
      <c r="J92" s="142">
        <f ca="1">IFERROR(__xludf.DUMMYFUNCTION("IMPORTRANGE(""https://docs.google.com/spreadsheets/d/1SX6NBoVAgQJ6U1MVXOaj8PK2l7WJ3RER9xtqwdhxkhw/edit?usp=sharing"",""สระแก้ว!J32"")"),0)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IFERROR(__xludf.DUMMYFUNCTION("IMPORTRANGE(""https://docs.google.com/spreadsheets/d/1SX6NBoVAgQJ6U1MVXOaj8PK2l7WJ3RER9xtqwdhxkhw/edit?usp=sharing"",""สระแก้ว!I33"")"),0)</f>
        <v>0</v>
      </c>
      <c r="J93" s="142">
        <f ca="1">IFERROR(__xludf.DUMMYFUNCTION("IMPORTRANGE(""https://docs.google.com/spreadsheets/d/1SX6NBoVAgQJ6U1MVXOaj8PK2l7WJ3RER9xtqwdhxkhw/edit?usp=sharing"",""สระแก้ว!J33"")"),0)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IFERROR(__xludf.DUMMYFUNCTION("IMPORTRANGE(""https://docs.google.com/spreadsheets/d/1Yj_ptqi66GCucihVvJfMjLAmec39IyEx_6qawtMGysU/edit?usp=sharing"",""สบก!AR75"")"),0)</f>
        <v>0</v>
      </c>
      <c r="N98" s="169">
        <f ca="1">IFERROR(__xludf.DUMMYFUNCTION("IMPORTRANGE(""https://docs.google.com/spreadsheets/d/1Yj_ptqi66GCucihVvJfMjLAmec39IyEx_6qawtMGysU/edit?usp=sharing"",""สบก!AS75"")"),0)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IFERROR(__xludf.DUMMYFUNCTION("IMPORTRANGE(""https://docs.google.com/spreadsheets/d/1Yj_ptqi66GCucihVvJfMjLAmec39IyEx_6qawtMGysU/edit?usp=sharing"",""สบก!AP75"")"),0)</f>
        <v>0</v>
      </c>
      <c r="M102" s="49"/>
      <c r="N102" s="49">
        <f ca="1">IFERROR(__xludf.DUMMYFUNCTION("IMPORTRANGE(""https://docs.google.com/spreadsheets/d/1Yj_ptqi66GCucihVvJfMjLAmec39IyEx_6qawtMGysU/edit?usp=sharing"",""สบก!AT75"")"),0)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IFERROR(__xludf.DUMMYFUNCTION("IMPORTRANGE(""https://docs.google.com/spreadsheets/d/1SX6NBoVAgQJ6U1MVXOaj8PK2l7WJ3RER9xtqwdhxkhw/edit?usp=sharing"",""สระแก้ว!J39"")"),0)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IFERROR(__xludf.DUMMYFUNCTION("IMPORTRANGE(""https://docs.google.com/spreadsheets/d/1SX6NBoVAgQJ6U1MVXOaj8PK2l7WJ3RER9xtqwdhxkhw/edit?usp=sharing"",""สระแก้ว!J40"")"),0)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IFERROR(__xludf.DUMMYFUNCTION("IMPORTRANGE(""https://docs.google.com/spreadsheets/d/1SX6NBoVAgQJ6U1MVXOaj8PK2l7WJ3RER9xtqwdhxkhw/edit?usp=sharing"",""สระแก้ว!J41"")"),0)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IFERROR(__xludf.DUMMYFUNCTION("IMPORTRANGE(""https://docs.google.com/spreadsheets/d/1SX6NBoVAgQJ6U1MVXOaj8PK2l7WJ3RER9xtqwdhxkhw/edit?usp=sharing"",""สระแก้ว!J42"")"),0)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IFERROR(__xludf.DUMMYFUNCTION("IMPORTRANGE(""https://docs.google.com/spreadsheets/d/1SX6NBoVAgQJ6U1MVXOaj8PK2l7WJ3RER9xtqwdhxkhw/edit?usp=sharing"",""สระแก้ว!I43"")"),0)</f>
        <v>0</v>
      </c>
      <c r="J108" s="204">
        <f ca="1">IFERROR(__xludf.DUMMYFUNCTION("IMPORTRANGE(""https://docs.google.com/spreadsheets/d/1SX6NBoVAgQJ6U1MVXOaj8PK2l7WJ3RER9xtqwdhxkhw/edit?usp=sharing"",""สระแก้ว!J43"")"),0)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IFERROR(__xludf.DUMMYFUNCTION("IMPORTRANGE(""https://docs.google.com/spreadsheets/d/1SX6NBoVAgQJ6U1MVXOaj8PK2l7WJ3RER9xtqwdhxkhw/edit?usp=sharing"",""สระแก้ว!I44"")"),0)</f>
        <v>0</v>
      </c>
      <c r="J109" s="204">
        <f ca="1">IFERROR(__xludf.DUMMYFUNCTION("IMPORTRANGE(""https://docs.google.com/spreadsheets/d/1SX6NBoVAgQJ6U1MVXOaj8PK2l7WJ3RER9xtqwdhxkhw/edit?usp=sharing"",""สระแก้ว!J44"")"),0)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IFERROR(__xludf.DUMMYFUNCTION("IMPORTRANGE(""https://docs.google.com/spreadsheets/d/1SX6NBoVAgQJ6U1MVXOaj8PK2l7WJ3RER9xtqwdhxkhw/edit?usp=sharing"",""สระแก้ว!I45"")"),0)</f>
        <v>0</v>
      </c>
      <c r="J110" s="204">
        <f ca="1">IFERROR(__xludf.DUMMYFUNCTION("IMPORTRANGE(""https://docs.google.com/spreadsheets/d/1SX6NBoVAgQJ6U1MVXOaj8PK2l7WJ3RER9xtqwdhxkhw/edit?usp=sharing"",""สระแก้ว!J45"")"),0)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IFERROR(__xludf.DUMMYFUNCTION("IMPORTRANGE(""https://docs.google.com/spreadsheets/d/1SX6NBoVAgQJ6U1MVXOaj8PK2l7WJ3RER9xtqwdhxkhw/edit?usp=sharing"",""สระแก้ว!I46"")"),0)</f>
        <v>0</v>
      </c>
      <c r="J111" s="204">
        <f ca="1">IFERROR(__xludf.DUMMYFUNCTION("IMPORTRANGE(""https://docs.google.com/spreadsheets/d/1SX6NBoVAgQJ6U1MVXOaj8PK2l7WJ3RER9xtqwdhxkhw/edit?usp=sharing"",""สระแก้ว!J46"")"),0)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IFERROR(__xludf.DUMMYFUNCTION("IMPORTRANGE(""https://docs.google.com/spreadsheets/d/1SX6NBoVAgQJ6U1MVXOaj8PK2l7WJ3RER9xtqwdhxkhw/edit?usp=sharing"",""สระแก้ว!I47"")"),0)</f>
        <v>0</v>
      </c>
      <c r="J112" s="204">
        <f ca="1">IFERROR(__xludf.DUMMYFUNCTION("IMPORTRANGE(""https://docs.google.com/spreadsheets/d/1SX6NBoVAgQJ6U1MVXOaj8PK2l7WJ3RER9xtqwdhxkhw/edit?usp=sharing"",""สระแก้ว!J47"")"),0)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IFERROR(__xludf.DUMMYFUNCTION("IMPORTRANGE(""https://docs.google.com/spreadsheets/d/1SX6NBoVAgQJ6U1MVXOaj8PK2l7WJ3RER9xtqwdhxkhw/edit?usp=sharing"",""สระแก้ว!I48"")"),0)</f>
        <v>0</v>
      </c>
      <c r="J113" s="204">
        <f ca="1">IFERROR(__xludf.DUMMYFUNCTION("IMPORTRANGE(""https://docs.google.com/spreadsheets/d/1SX6NBoVAgQJ6U1MVXOaj8PK2l7WJ3RER9xtqwdhxkhw/edit?usp=sharing"",""สระแก้ว!J48"")"),0)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IFERROR(__xludf.DUMMYFUNCTION("IMPORTRANGE(""https://docs.google.com/spreadsheets/d/1SX6NBoVAgQJ6U1MVXOaj8PK2l7WJ3RER9xtqwdhxkhw/edit?usp=sharing"",""สระแก้ว!J49"")"),0)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IFERROR(__xludf.DUMMYFUNCTION("IMPORTRANGE(""https://docs.google.com/spreadsheets/d/1SX6NBoVAgQJ6U1MVXOaj8PK2l7WJ3RER9xtqwdhxkhw/edit?usp=sharing"",""สระแก้ว!J50"")"),0)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IFERROR(__xludf.DUMMYFUNCTION("IMPORTRANGE(""https://docs.google.com/spreadsheets/d/1SX6NBoVAgQJ6U1MVXOaj8PK2l7WJ3RER9xtqwdhxkhw/edit?usp=sharing"",""สระแก้ว!I52"")"),0)</f>
        <v>0</v>
      </c>
      <c r="J117" s="142">
        <f ca="1">IFERROR(__xludf.DUMMYFUNCTION("IMPORTRANGE(""https://docs.google.com/spreadsheets/d/1SX6NBoVAgQJ6U1MVXOaj8PK2l7WJ3RER9xtqwdhxkhw/edit?usp=sharing"",""สระแก้ว!J52"")"),0)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IFERROR(__xludf.DUMMYFUNCTION("IMPORTRANGE(""https://docs.google.com/spreadsheets/d/1Yj_ptqi66GCucihVvJfMjLAmec39IyEx_6qawtMGysU/edit?usp=sharing"",""สบก!BA75"")"),0)</f>
        <v>0</v>
      </c>
      <c r="N122" s="169">
        <f ca="1">IFERROR(__xludf.DUMMYFUNCTION("IMPORTRANGE(""https://docs.google.com/spreadsheets/d/1Yj_ptqi66GCucihVvJfMjLAmec39IyEx_6qawtMGysU/edit?usp=sharing"",""สบก!BB75"")"),0)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IFERROR(__xludf.DUMMYFUNCTION("IMPORTRANGE(""https://docs.google.com/spreadsheets/d/1Yj_ptqi66GCucihVvJfMjLAmec39IyEx_6qawtMGysU/edit?usp=sharing"",""สบก!AY75"")"),0)</f>
        <v>0</v>
      </c>
      <c r="M126" s="49"/>
      <c r="N126" s="49">
        <f ca="1">IFERROR(__xludf.DUMMYFUNCTION("IMPORTRANGE(""https://docs.google.com/spreadsheets/d/1Yj_ptqi66GCucihVvJfMjLAmec39IyEx_6qawtMGysU/edit?usp=sharing"",""สบก!BC75"")"),0)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IFERROR(__xludf.DUMMYFUNCTION("IMPORTRANGE(""https://docs.google.com/spreadsheets/d/1SX6NBoVAgQJ6U1MVXOaj8PK2l7WJ3RER9xtqwdhxkhw/edit?usp=sharing"",""สระแก้ว!J58"")"),0)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IFERROR(__xludf.DUMMYFUNCTION("IMPORTRANGE(""https://docs.google.com/spreadsheets/d/1SX6NBoVAgQJ6U1MVXOaj8PK2l7WJ3RER9xtqwdhxkhw/edit?usp=sharing"",""สระแก้ว!J59"")"),0)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IFERROR(__xludf.DUMMYFUNCTION("IMPORTRANGE(""https://docs.google.com/spreadsheets/d/1SX6NBoVAgQJ6U1MVXOaj8PK2l7WJ3RER9xtqwdhxkhw/edit?usp=sharing"",""สระแก้ว!J60"")"),0)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IFERROR(__xludf.DUMMYFUNCTION("IMPORTRANGE(""https://docs.google.com/spreadsheets/d/1SX6NBoVAgQJ6U1MVXOaj8PK2l7WJ3RER9xtqwdhxkhw/edit?usp=sharing"",""สระแก้ว!J61"")"),0)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IFERROR(__xludf.DUMMYFUNCTION("IMPORTRANGE(""https://docs.google.com/spreadsheets/d/1SX6NBoVAgQJ6U1MVXOaj8PK2l7WJ3RER9xtqwdhxkhw/edit?usp=sharing"",""สระแก้ว!I62"")"),0)</f>
        <v>0</v>
      </c>
      <c r="J132" s="204">
        <f ca="1">IFERROR(__xludf.DUMMYFUNCTION("IMPORTRANGE(""https://docs.google.com/spreadsheets/d/1SX6NBoVAgQJ6U1MVXOaj8PK2l7WJ3RER9xtqwdhxkhw/edit?usp=sharing"",""สระแก้ว!J62"")"),0)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IFERROR(__xludf.DUMMYFUNCTION("IMPORTRANGE(""https://docs.google.com/spreadsheets/d/1SX6NBoVAgQJ6U1MVXOaj8PK2l7WJ3RER9xtqwdhxkhw/edit?usp=sharing"",""สระแก้ว!I63"")"),0)</f>
        <v>0</v>
      </c>
      <c r="J133" s="204">
        <f ca="1">IFERROR(__xludf.DUMMYFUNCTION("IMPORTRANGE(""https://docs.google.com/spreadsheets/d/1SX6NBoVAgQJ6U1MVXOaj8PK2l7WJ3RER9xtqwdhxkhw/edit?usp=sharing"",""สระแก้ว!J63"")"),0)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IFERROR(__xludf.DUMMYFUNCTION("IMPORTRANGE(""https://docs.google.com/spreadsheets/d/1SX6NBoVAgQJ6U1MVXOaj8PK2l7WJ3RER9xtqwdhxkhw/edit?usp=sharing"",""สระแก้ว!J64"")"),0)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IFERROR(__xludf.DUMMYFUNCTION("IMPORTRANGE(""https://docs.google.com/spreadsheets/d/1SX6NBoVAgQJ6U1MVXOaj8PK2l7WJ3RER9xtqwdhxkhw/edit?usp=sharing"",""สระแก้ว!J65"")"),0)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IFERROR(__xludf.DUMMYFUNCTION("IMPORTRANGE(""https://docs.google.com/spreadsheets/d/1SX6NBoVAgQJ6U1MVXOaj8PK2l7WJ3RER9xtqwdhxkhw/edit?usp=sharing"",""สระแก้ว!I68"")"),60)</f>
        <v>60</v>
      </c>
      <c r="J138" s="268">
        <f ca="1">IFERROR(__xludf.DUMMYFUNCTION("IMPORTRANGE(""https://docs.google.com/spreadsheets/d/1SX6NBoVAgQJ6U1MVXOaj8PK2l7WJ3RER9xtqwdhxkhw/edit?usp=sharing"",""สระแก้ว!J68"")"),60)</f>
        <v>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479100</v>
      </c>
      <c r="M140" s="152">
        <f t="shared" ca="1" si="64"/>
        <v>479100</v>
      </c>
      <c r="N140" s="152">
        <f t="shared" ca="1" si="64"/>
        <v>433179.01</v>
      </c>
      <c r="O140" s="151">
        <f t="shared" ref="O140:O142" ca="1" si="65">IF(L140&gt;0,N140*100/L140,0)</f>
        <v>90.415155499895633</v>
      </c>
      <c r="P140" s="151">
        <f t="shared" ref="P140:P142" ca="1" si="66">IF(M140&gt;0,N140*100/M140,0)</f>
        <v>90.415155499895633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479100</v>
      </c>
      <c r="M142" s="157">
        <f t="shared" ca="1" si="68"/>
        <v>479100</v>
      </c>
      <c r="N142" s="157">
        <f t="shared" ca="1" si="68"/>
        <v>433179.01</v>
      </c>
      <c r="O142" s="156">
        <f t="shared" ca="1" si="65"/>
        <v>90.415155499895633</v>
      </c>
      <c r="P142" s="156">
        <f t="shared" ca="1" si="66"/>
        <v>90.415155499895633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479100</v>
      </c>
      <c r="M144" s="168">
        <f ca="1">IFERROR(__xludf.DUMMYFUNCTION("IMPORTRANGE(""https://docs.google.com/spreadsheets/d/1Yj_ptqi66GCucihVvJfMjLAmec39IyEx_6qawtMGysU/edit?usp=sharing"",""สบก!BJ75"")"),479100)</f>
        <v>479100</v>
      </c>
      <c r="N144" s="169">
        <f ca="1">IFERROR(__xludf.DUMMYFUNCTION("IMPORTRANGE(""https://docs.google.com/spreadsheets/d/1Yj_ptqi66GCucihVvJfMjLAmec39IyEx_6qawtMGysU/edit?usp=sharing"",""สบก!BK75"")"),433179.01)</f>
        <v>433179.01</v>
      </c>
      <c r="O144" s="169">
        <f ca="1">IF(L144&gt;0,N144*100/L144,0)</f>
        <v>90.415155499895633</v>
      </c>
      <c r="P144" s="169">
        <f ca="1">IF(M144&gt;0,N144*100/M144,0)</f>
        <v>90.415155499895633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IFERROR(__xludf.DUMMYFUNCTION("IMPORTRANGE(""https://docs.google.com/spreadsheets/d/1Yj_ptqi66GCucihVvJfMjLAmec39IyEx_6qawtMGysU/edit?usp=sharing"",""สบก!BF75"")"),132000)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IFERROR(__xludf.DUMMYFUNCTION("IMPORTRANGE(""https://docs.google.com/spreadsheets/d/1Yj_ptqi66GCucihVvJfMjLAmec39IyEx_6qawtMGysU/edit?usp=sharing"",""สบก!BG75"")"),347100)</f>
        <v>347100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IFERROR(__xludf.DUMMYFUNCTION("IMPORTRANGE(""https://docs.google.com/spreadsheets/d/1Yj_ptqi66GCucihVvJfMjLAmec39IyEx_6qawtMGysU/edit?usp=sharing"",""สบก!BH75"")"),0)</f>
        <v>0</v>
      </c>
      <c r="M148" s="49"/>
      <c r="N148" s="49">
        <f ca="1">IFERROR(__xludf.DUMMYFUNCTION("IMPORTRANGE(""https://docs.google.com/spreadsheets/d/1Yj_ptqi66GCucihVvJfMjLAmec39IyEx_6qawtMGysU/edit?usp=sharing"",""สบก!BL75"")"),0)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IFERROR(__xludf.DUMMYFUNCTION("IMPORTRANGE(""https://docs.google.com/spreadsheets/d/1SX6NBoVAgQJ6U1MVXOaj8PK2l7WJ3RER9xtqwdhxkhw/edit?usp=sharing"",""สระแก้ว!I74"")"),4)</f>
        <v>4</v>
      </c>
      <c r="J149" s="276">
        <f ca="1">IFERROR(__xludf.DUMMYFUNCTION("IMPORTRANGE(""https://docs.google.com/spreadsheets/d/1SX6NBoVAgQJ6U1MVXOaj8PK2l7WJ3RER9xtqwdhxkhw/edit?usp=sharing"",""สระแก้ว!J74"")"),3)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IFERROR(__xludf.DUMMYFUNCTION("IMPORTRANGE(""https://docs.google.com/spreadsheets/d/1SX6NBoVAgQJ6U1MVXOaj8PK2l7WJ3RER9xtqwdhxkhw/edit?usp=sharing"",""สระแก้ว!J79"")"),0)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IFERROR(__xludf.DUMMYFUNCTION("IMPORTRANGE(""https://docs.google.com/spreadsheets/d/1SX6NBoVAgQJ6U1MVXOaj8PK2l7WJ3RER9xtqwdhxkhw/edit?usp=sharing"",""สระแก้ว!J80"")"),1)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IFERROR(__xludf.DUMMYFUNCTION("IMPORTRANGE(""https://docs.google.com/spreadsheets/d/1SX6NBoVAgQJ6U1MVXOaj8PK2l7WJ3RER9xtqwdhxkhw/edit?usp=sharing"",""สระแก้ว!J81"")"),1)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IFERROR(__xludf.DUMMYFUNCTION("IMPORTRANGE(""https://docs.google.com/spreadsheets/d/1SX6NBoVAgQJ6U1MVXOaj8PK2l7WJ3RER9xtqwdhxkhw/edit?usp=sharing"",""สระแก้ว!J82"")"),1)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IFERROR(__xludf.DUMMYFUNCTION("IMPORTRANGE(""https://docs.google.com/spreadsheets/d/1SX6NBoVAgQJ6U1MVXOaj8PK2l7WJ3RER9xtqwdhxkhw/edit?usp=sharing"",""สระแก้ว!I83"")"),4)</f>
        <v>4</v>
      </c>
      <c r="J158" s="189">
        <f ca="1">IFERROR(__xludf.DUMMYFUNCTION("IMPORTRANGE(""https://docs.google.com/spreadsheets/d/1SX6NBoVAgQJ6U1MVXOaj8PK2l7WJ3RER9xtqwdhxkhw/edit?usp=sharing"",""สระแก้ว!J83"")"),3)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IFERROR(__xludf.DUMMYFUNCTION("IMPORTRANGE(""https://docs.google.com/spreadsheets/d/1SX6NBoVAgQJ6U1MVXOaj8PK2l7WJ3RER9xtqwdhxkhw/edit?usp=sharing"",""สระแก้ว!J84"")"),0)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IFERROR(__xludf.DUMMYFUNCTION("IMPORTRANGE(""https://docs.google.com/spreadsheets/d/1SX6NBoVAgQJ6U1MVXOaj8PK2l7WJ3RER9xtqwdhxkhw/edit?usp=sharing"",""สระแก้ว!J85"")"),0)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IFERROR(__xludf.DUMMYFUNCTION("IMPORTRANGE(""https://docs.google.com/spreadsheets/d/1SX6NBoVAgQJ6U1MVXOaj8PK2l7WJ3RER9xtqwdhxkhw/edit?usp=sharing"",""สระแก้ว!J86"")"),0)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IFERROR(__xludf.DUMMYFUNCTION("IMPORTRANGE(""https://docs.google.com/spreadsheets/d/1SX6NBoVAgQJ6U1MVXOaj8PK2l7WJ3RER9xtqwdhxkhw/edit?usp=sharing"",""สระแก้ว!J87"")"),0)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IFERROR(__xludf.DUMMYFUNCTION("IMPORTRANGE(""https://docs.google.com/spreadsheets/d/1SX6NBoVAgQJ6U1MVXOaj8PK2l7WJ3RER9xtqwdhxkhw/edit?usp=sharing"",""สระแก้ว!J88"")"),0)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IFERROR(__xludf.DUMMYFUNCTION("IMPORTRANGE(""https://docs.google.com/spreadsheets/d/1SX6NBoVAgQJ6U1MVXOaj8PK2l7WJ3RER9xtqwdhxkhw/edit?usp=sharing"",""สระแก้ว!I89"")"),3)</f>
        <v>3</v>
      </c>
      <c r="J164" s="285">
        <f ca="1">IFERROR(__xludf.DUMMYFUNCTION("IMPORTRANGE(""https://docs.google.com/spreadsheets/d/1SX6NBoVAgQJ6U1MVXOaj8PK2l7WJ3RER9xtqwdhxkhw/edit?usp=sharing"",""สระแก้ว!J89"")"),3)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IFERROR(__xludf.DUMMYFUNCTION("IMPORTRANGE(""https://docs.google.com/spreadsheets/d/1SX6NBoVAgQJ6U1MVXOaj8PK2l7WJ3RER9xtqwdhxkhw/edit?usp=sharing"",""สระแก้ว!J94"")"),0)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IFERROR(__xludf.DUMMYFUNCTION("IMPORTRANGE(""https://docs.google.com/spreadsheets/d/1SX6NBoVAgQJ6U1MVXOaj8PK2l7WJ3RER9xtqwdhxkhw/edit?usp=sharing"",""สระแก้ว!J95"")"),1)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IFERROR(__xludf.DUMMYFUNCTION("IMPORTRANGE(""https://docs.google.com/spreadsheets/d/1SX6NBoVAgQJ6U1MVXOaj8PK2l7WJ3RER9xtqwdhxkhw/edit?usp=sharing"",""สระแก้ว!J96"")"),1)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IFERROR(__xludf.DUMMYFUNCTION("IMPORTRANGE(""https://docs.google.com/spreadsheets/d/1SX6NBoVAgQJ6U1MVXOaj8PK2l7WJ3RER9xtqwdhxkhw/edit?usp=sharing"",""สระแก้ว!J97"")"),1)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IFERROR(__xludf.DUMMYFUNCTION("IMPORTRANGE(""https://docs.google.com/spreadsheets/d/1SX6NBoVAgQJ6U1MVXOaj8PK2l7WJ3RER9xtqwdhxkhw/edit?usp=sharing"",""สระแก้ว!I98"")"),3)</f>
        <v>3</v>
      </c>
      <c r="J173" s="189">
        <f ca="1">IFERROR(__xludf.DUMMYFUNCTION("IMPORTRANGE(""https://docs.google.com/spreadsheets/d/1SX6NBoVAgQJ6U1MVXOaj8PK2l7WJ3RER9xtqwdhxkhw/edit?usp=sharing"",""สระแก้ว!J98"")"),3)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IFERROR(__xludf.DUMMYFUNCTION("IMPORTRANGE(""https://docs.google.com/spreadsheets/d/1SX6NBoVAgQJ6U1MVXOaj8PK2l7WJ3RER9xtqwdhxkhw/edit?usp=sharing"",""สระแก้ว!J99"")"),0)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IFERROR(__xludf.DUMMYFUNCTION("IMPORTRANGE(""https://docs.google.com/spreadsheets/d/1SX6NBoVAgQJ6U1MVXOaj8PK2l7WJ3RER9xtqwdhxkhw/edit?usp=sharing"",""สระแก้ว!J100"")"),0)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IFERROR(__xludf.DUMMYFUNCTION("IMPORTRANGE(""https://docs.google.com/spreadsheets/d/1SX6NBoVAgQJ6U1MVXOaj8PK2l7WJ3RER9xtqwdhxkhw/edit?usp=sharing"",""สระแก้ว!I101"")"),6)</f>
        <v>6</v>
      </c>
      <c r="J176" s="285">
        <f ca="1">IFERROR(__xludf.DUMMYFUNCTION("IMPORTRANGE(""https://docs.google.com/spreadsheets/d/1SX6NBoVAgQJ6U1MVXOaj8PK2l7WJ3RER9xtqwdhxkhw/edit?usp=sharing"",""สระแก้ว!J101"")"),6)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IFERROR(__xludf.DUMMYFUNCTION("IMPORTRANGE(""https://docs.google.com/spreadsheets/d/1SX6NBoVAgQJ6U1MVXOaj8PK2l7WJ3RER9xtqwdhxkhw/edit?usp=sharing"",""สระแก้ว!J106"")"),0)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IFERROR(__xludf.DUMMYFUNCTION("IMPORTRANGE(""https://docs.google.com/spreadsheets/d/1SX6NBoVAgQJ6U1MVXOaj8PK2l7WJ3RER9xtqwdhxkhw/edit?usp=sharing"",""สระแก้ว!J107"")"),1)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IFERROR(__xludf.DUMMYFUNCTION("IMPORTRANGE(""https://docs.google.com/spreadsheets/d/1SX6NBoVAgQJ6U1MVXOaj8PK2l7WJ3RER9xtqwdhxkhw/edit?usp=sharing"",""สระแก้ว!J108"")"),1)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IFERROR(__xludf.DUMMYFUNCTION("IMPORTRANGE(""https://docs.google.com/spreadsheets/d/1SX6NBoVAgQJ6U1MVXOaj8PK2l7WJ3RER9xtqwdhxkhw/edit?usp=sharing"",""สระแก้ว!J109"")"),1)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IFERROR(__xludf.DUMMYFUNCTION("IMPORTRANGE(""https://docs.google.com/spreadsheets/d/1SX6NBoVAgQJ6U1MVXOaj8PK2l7WJ3RER9xtqwdhxkhw/edit?usp=sharing"",""สระแก้ว!I110"")"),6)</f>
        <v>6</v>
      </c>
      <c r="J185" s="204">
        <f ca="1">IFERROR(__xludf.DUMMYFUNCTION("IMPORTRANGE(""https://docs.google.com/spreadsheets/d/1SX6NBoVAgQJ6U1MVXOaj8PK2l7WJ3RER9xtqwdhxkhw/edit?usp=sharing"",""สระแก้ว!J110"")"),6)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IFERROR(__xludf.DUMMYFUNCTION("IMPORTRANGE(""https://docs.google.com/spreadsheets/d/1SX6NBoVAgQJ6U1MVXOaj8PK2l7WJ3RER9xtqwdhxkhw/edit?usp=sharing"",""สระแก้ว!I111"")"),6)</f>
        <v>6</v>
      </c>
      <c r="J186" s="204">
        <f ca="1">IFERROR(__xludf.DUMMYFUNCTION("IMPORTRANGE(""https://docs.google.com/spreadsheets/d/1SX6NBoVAgQJ6U1MVXOaj8PK2l7WJ3RER9xtqwdhxkhw/edit?usp=sharing"",""สระแก้ว!J111"")"),6)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IFERROR(__xludf.DUMMYFUNCTION("IMPORTRANGE(""https://docs.google.com/spreadsheets/d/1SX6NBoVAgQJ6U1MVXOaj8PK2l7WJ3RER9xtqwdhxkhw/edit?usp=sharing"",""สระแก้ว!J112"")"),0)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IFERROR(__xludf.DUMMYFUNCTION("IMPORTRANGE(""https://docs.google.com/spreadsheets/d/1SX6NBoVAgQJ6U1MVXOaj8PK2l7WJ3RER9xtqwdhxkhw/edit?usp=sharing"",""สระแก้ว!J113"")"),0)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IFERROR(__xludf.DUMMYFUNCTION("IMPORTRANGE(""https://docs.google.com/spreadsheets/d/1SX6NBoVAgQJ6U1MVXOaj8PK2l7WJ3RER9xtqwdhxkhw/edit?usp=sharing"",""สระแก้ว!I114"")"),40000)</f>
        <v>40000</v>
      </c>
      <c r="J189" s="285">
        <f ca="1">IFERROR(__xludf.DUMMYFUNCTION("IMPORTRANGE(""https://docs.google.com/spreadsheets/d/1SX6NBoVAgQJ6U1MVXOaj8PK2l7WJ3RER9xtqwdhxkhw/edit?usp=sharing"",""สระแก้ว!J114"")"),40000)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IFERROR(__xludf.DUMMYFUNCTION("IMPORTRANGE(""https://docs.google.com/spreadsheets/d/1SX6NBoVAgQJ6U1MVXOaj8PK2l7WJ3RER9xtqwdhxkhw/edit?usp=sharing"",""สระแก้ว!J119"")"),1)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IFERROR(__xludf.DUMMYFUNCTION("IMPORTRANGE(""https://docs.google.com/spreadsheets/d/1SX6NBoVAgQJ6U1MVXOaj8PK2l7WJ3RER9xtqwdhxkhw/edit?usp=sharing"",""สระแก้ว!J120"")"),1)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IFERROR(__xludf.DUMMYFUNCTION("IMPORTRANGE(""https://docs.google.com/spreadsheets/d/1SX6NBoVAgQJ6U1MVXOaj8PK2l7WJ3RER9xtqwdhxkhw/edit?usp=sharing"",""สระแก้ว!J121"")"),0)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IFERROR(__xludf.DUMMYFUNCTION("IMPORTRANGE(""https://docs.google.com/spreadsheets/d/1SX6NBoVAgQJ6U1MVXOaj8PK2l7WJ3RER9xtqwdhxkhw/edit?usp=sharing"",""สระแก้ว!J122"")"),0)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IFERROR(__xludf.DUMMYFUNCTION("IMPORTRANGE(""https://docs.google.com/spreadsheets/d/1SX6NBoVAgQJ6U1MVXOaj8PK2l7WJ3RER9xtqwdhxkhw/edit?usp=sharing"",""สระแก้ว!I124"")"),40000)</f>
        <v>40000</v>
      </c>
      <c r="J199" s="189">
        <f ca="1">IFERROR(__xludf.DUMMYFUNCTION("IMPORTRANGE(""https://docs.google.com/spreadsheets/d/1SX6NBoVAgQJ6U1MVXOaj8PK2l7WJ3RER9xtqwdhxkhw/edit?usp=sharing"",""สระแก้ว!J124"")"),40000)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IFERROR(__xludf.DUMMYFUNCTION("IMPORTRANGE(""https://docs.google.com/spreadsheets/d/1SX6NBoVAgQJ6U1MVXOaj8PK2l7WJ3RER9xtqwdhxkhw/edit?usp=sharing"",""สระแก้ว!I125"")"),40000)</f>
        <v>40000</v>
      </c>
      <c r="J200" s="189">
        <f ca="1">IFERROR(__xludf.DUMMYFUNCTION("IMPORTRANGE(""https://docs.google.com/spreadsheets/d/1SX6NBoVAgQJ6U1MVXOaj8PK2l7WJ3RER9xtqwdhxkhw/edit?usp=sharing"",""สระแก้ว!J125"")"),40000)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IFERROR(__xludf.DUMMYFUNCTION("IMPORTRANGE(""https://docs.google.com/spreadsheets/d/1SX6NBoVAgQJ6U1MVXOaj8PK2l7WJ3RER9xtqwdhxkhw/edit?usp=sharing"",""สระแก้ว!I126"")"),0)</f>
        <v>0</v>
      </c>
      <c r="J201" s="189">
        <f ca="1">IFERROR(__xludf.DUMMYFUNCTION("IMPORTRANGE(""https://docs.google.com/spreadsheets/d/1SX6NBoVAgQJ6U1MVXOaj8PK2l7WJ3RER9xtqwdhxkhw/edit?usp=sharing"",""สระแก้ว!J126"")"),0)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IFERROR(__xludf.DUMMYFUNCTION("IMPORTRANGE(""https://docs.google.com/spreadsheets/d/1SX6NBoVAgQJ6U1MVXOaj8PK2l7WJ3RER9xtqwdhxkhw/edit?usp=sharing"",""สระแก้ว!J127"")"),0)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IFERROR(__xludf.DUMMYFUNCTION("IMPORTRANGE(""https://docs.google.com/spreadsheets/d/1SX6NBoVAgQJ6U1MVXOaj8PK2l7WJ3RER9xtqwdhxkhw/edit?usp=sharing"",""สระแก้ว!J128"")"),0)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IFERROR(__xludf.DUMMYFUNCTION("IMPORTRANGE(""https://docs.google.com/spreadsheets/d/1SX6NBoVAgQJ6U1MVXOaj8PK2l7WJ3RER9xtqwdhxkhw/edit?usp=sharing"",""สระแก้ว!I129"")"),60)</f>
        <v>60</v>
      </c>
      <c r="J204" s="285">
        <f ca="1">IFERROR(__xludf.DUMMYFUNCTION("IMPORTRANGE(""https://docs.google.com/spreadsheets/d/1SX6NBoVAgQJ6U1MVXOaj8PK2l7WJ3RER9xtqwdhxkhw/edit?usp=sharing"",""สระแก้ว!J129"")"),60)</f>
        <v>60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IFERROR(__xludf.DUMMYFUNCTION("IMPORTRANGE(""https://docs.google.com/spreadsheets/d/1SX6NBoVAgQJ6U1MVXOaj8PK2l7WJ3RER9xtqwdhxkhw/edit?usp=sharing"",""สระแก้ว!J134"")"),0)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IFERROR(__xludf.DUMMYFUNCTION("IMPORTRANGE(""https://docs.google.com/spreadsheets/d/1SX6NBoVAgQJ6U1MVXOaj8PK2l7WJ3RER9xtqwdhxkhw/edit?usp=sharing"",""สระแก้ว!J135"")"),1)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IFERROR(__xludf.DUMMYFUNCTION("IMPORTRANGE(""https://docs.google.com/spreadsheets/d/1SX6NBoVAgQJ6U1MVXOaj8PK2l7WJ3RER9xtqwdhxkhw/edit?usp=sharing"",""สระแก้ว!J136"")"),1)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IFERROR(__xludf.DUMMYFUNCTION("IMPORTRANGE(""https://docs.google.com/spreadsheets/d/1SX6NBoVAgQJ6U1MVXOaj8PK2l7WJ3RER9xtqwdhxkhw/edit?usp=sharing"",""สระแก้ว!J137"")"),1)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IFERROR(__xludf.DUMMYFUNCTION("IMPORTRANGE(""https://docs.google.com/spreadsheets/d/1SX6NBoVAgQJ6U1MVXOaj8PK2l7WJ3RER9xtqwdhxkhw/edit?usp=sharing"",""สระแก้ว!I138"")"),60)</f>
        <v>60</v>
      </c>
      <c r="J213" s="204">
        <f ca="1">IFERROR(__xludf.DUMMYFUNCTION("IMPORTRANGE(""https://docs.google.com/spreadsheets/d/1SX6NBoVAgQJ6U1MVXOaj8PK2l7WJ3RER9xtqwdhxkhw/edit?usp=sharing"",""สระแก้ว!J138"")"),60)</f>
        <v>60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IFERROR(__xludf.DUMMYFUNCTION("IMPORTRANGE(""https://docs.google.com/spreadsheets/d/1SX6NBoVAgQJ6U1MVXOaj8PK2l7WJ3RER9xtqwdhxkhw/edit?usp=sharing"",""สระแก้ว!I140"")"),20)</f>
        <v>20</v>
      </c>
      <c r="J215" s="204">
        <f ca="1">IFERROR(__xludf.DUMMYFUNCTION("IMPORTRANGE(""https://docs.google.com/spreadsheets/d/1SX6NBoVAgQJ6U1MVXOaj8PK2l7WJ3RER9xtqwdhxkhw/edit?usp=sharing"",""สระแก้ว!J140"")"),20)</f>
        <v>20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IFERROR(__xludf.DUMMYFUNCTION("IMPORTRANGE(""https://docs.google.com/spreadsheets/d/1SX6NBoVAgQJ6U1MVXOaj8PK2l7WJ3RER9xtqwdhxkhw/edit?usp=sharing"",""สระแก้ว!I141"")"),3)</f>
        <v>3</v>
      </c>
      <c r="J216" s="204">
        <f ca="1">IFERROR(__xludf.DUMMYFUNCTION("IMPORTRANGE(""https://docs.google.com/spreadsheets/d/1SX6NBoVAgQJ6U1MVXOaj8PK2l7WJ3RER9xtqwdhxkhw/edit?usp=sharing"",""สระแก้ว!J141"")"),3)</f>
        <v>3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IFERROR(__xludf.DUMMYFUNCTION("IMPORTRANGE(""https://docs.google.com/spreadsheets/d/1SX6NBoVAgQJ6U1MVXOaj8PK2l7WJ3RER9xtqwdhxkhw/edit?usp=sharing"",""สระแก้ว!J142"")"),0)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IFERROR(__xludf.DUMMYFUNCTION("IMPORTRANGE(""https://docs.google.com/spreadsheets/d/1SX6NBoVAgQJ6U1MVXOaj8PK2l7WJ3RER9xtqwdhxkhw/edit?usp=sharing"",""สระแก้ว!J143"")"),0)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IFERROR(__xludf.DUMMYFUNCTION("IMPORTRANGE(""https://docs.google.com/spreadsheets/d/1SX6NBoVAgQJ6U1MVXOaj8PK2l7WJ3RER9xtqwdhxkhw/edit?usp=sharing"",""สระแก้ว!I144"")"),13)</f>
        <v>13</v>
      </c>
      <c r="J219" s="268">
        <f ca="1">IFERROR(__xludf.DUMMYFUNCTION("IMPORTRANGE(""https://docs.google.com/spreadsheets/d/1SX6NBoVAgQJ6U1MVXOaj8PK2l7WJ3RER9xtqwdhxkhw/edit?usp=sharing"",""สระแก้ว!J144"")"),13)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IFERROR(__xludf.DUMMYFUNCTION("IMPORTRANGE(""https://docs.google.com/spreadsheets/d/1Yj_ptqi66GCucihVvJfMjLAmec39IyEx_6qawtMGysU/edit?usp=sharing"",""สบก!BS75"")"),19295)</f>
        <v>19295</v>
      </c>
      <c r="N224" s="169">
        <f ca="1">IFERROR(__xludf.DUMMYFUNCTION("IMPORTRANGE(""https://docs.google.com/spreadsheets/d/1Yj_ptqi66GCucihVvJfMjLAmec39IyEx_6qawtMGysU/edit?usp=sharing"",""สบก!BT75"")"),19295)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IFERROR(__xludf.DUMMYFUNCTION("IMPORTRANGE(""https://docs.google.com/spreadsheets/d/1Yj_ptqi66GCucihVvJfMjLAmec39IyEx_6qawtMGysU/edit?usp=sharing"",""สบก!BP75"")"),19295)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IFERROR(__xludf.DUMMYFUNCTION("IMPORTRANGE(""https://docs.google.com/spreadsheets/d/1Yj_ptqi66GCucihVvJfMjLAmec39IyEx_6qawtMGysU/edit?usp=sharing"",""สบก!BQ75"")"),0)</f>
        <v>0</v>
      </c>
      <c r="M228" s="49"/>
      <c r="N228" s="49">
        <f ca="1">IFERROR(__xludf.DUMMYFUNCTION("IMPORTRANGE(""https://docs.google.com/spreadsheets/d/1Yj_ptqi66GCucihVvJfMjLAmec39IyEx_6qawtMGysU/edit?usp=sharing"",""สบก!BU75"")"),0)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IFERROR(__xludf.DUMMYFUNCTION("IMPORTRANGE(""https://docs.google.com/spreadsheets/d/1SX6NBoVAgQJ6U1MVXOaj8PK2l7WJ3RER9xtqwdhxkhw/edit?usp=sharing"",""สระแก้ว!I149"")"),13)</f>
        <v>13</v>
      </c>
      <c r="J229" s="268">
        <f ca="1">IFERROR(__xludf.DUMMYFUNCTION("IMPORTRANGE(""https://docs.google.com/spreadsheets/d/1SX6NBoVAgQJ6U1MVXOaj8PK2l7WJ3RER9xtqwdhxkhw/edit?usp=sharing"",""สระแก้ว!J149"")"),13)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IFERROR(__xludf.DUMMYFUNCTION("IMPORTRANGE(""https://docs.google.com/spreadsheets/d/1SX6NBoVAgQJ6U1MVXOaj8PK2l7WJ3RER9xtqwdhxkhw/edit?usp=sharing"",""สระแก้ว!J151"")"),0)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IFERROR(__xludf.DUMMYFUNCTION("IMPORTRANGE(""https://docs.google.com/spreadsheets/d/1SX6NBoVAgQJ6U1MVXOaj8PK2l7WJ3RER9xtqwdhxkhw/edit?usp=sharing"",""สระแก้ว!J152"")"),1)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IFERROR(__xludf.DUMMYFUNCTION("IMPORTRANGE(""https://docs.google.com/spreadsheets/d/1SX6NBoVAgQJ6U1MVXOaj8PK2l7WJ3RER9xtqwdhxkhw/edit?usp=sharing"",""สระแก้ว!J153"")"),1)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IFERROR(__xludf.DUMMYFUNCTION("IMPORTRANGE(""https://docs.google.com/spreadsheets/d/1SX6NBoVAgQJ6U1MVXOaj8PK2l7WJ3RER9xtqwdhxkhw/edit?usp=sharing"",""สระแก้ว!J154"")"),1)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IFERROR(__xludf.DUMMYFUNCTION("IMPORTRANGE(""https://docs.google.com/spreadsheets/d/1SX6NBoVAgQJ6U1MVXOaj8PK2l7WJ3RER9xtqwdhxkhw/edit?usp=sharing"",""สระแก้ว!I155"")"),13)</f>
        <v>13</v>
      </c>
      <c r="J235" s="189">
        <f ca="1">IFERROR(__xludf.DUMMYFUNCTION("IMPORTRANGE(""https://docs.google.com/spreadsheets/d/1SX6NBoVAgQJ6U1MVXOaj8PK2l7WJ3RER9xtqwdhxkhw/edit?usp=sharing"",""สระแก้ว!J155"")"),13)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IFERROR(__xludf.DUMMYFUNCTION("IMPORTRANGE(""https://docs.google.com/spreadsheets/d/1SX6NBoVAgQJ6U1MVXOaj8PK2l7WJ3RER9xtqwdhxkhw/edit?usp=sharing"",""สระแก้ว!J156"")"),1)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IFERROR(__xludf.DUMMYFUNCTION("IMPORTRANGE(""https://docs.google.com/spreadsheets/d/1SX6NBoVAgQJ6U1MVXOaj8PK2l7WJ3RER9xtqwdhxkhw/edit?usp=sharing"",""สระแก้ว!J157"")"),1)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IFERROR(__xludf.DUMMYFUNCTION("IMPORTRANGE(""https://docs.google.com/spreadsheets/d/1SX6NBoVAgQJ6U1MVXOaj8PK2l7WJ3RER9xtqwdhxkhw/edit?usp=sharing"",""สระแก้ว!I158"")"),0)</f>
        <v>0</v>
      </c>
      <c r="J238" s="268">
        <f ca="1">IFERROR(__xludf.DUMMYFUNCTION("IMPORTRANGE(""https://docs.google.com/spreadsheets/d/1SX6NBoVAgQJ6U1MVXOaj8PK2l7WJ3RER9xtqwdhxkhw/edit?usp=sharing"",""สระแก้ว!J158"")"),0)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IFERROR(__xludf.DUMMYFUNCTION("IMPORTRANGE(""https://docs.google.com/spreadsheets/d/1SX6NBoVAgQJ6U1MVXOaj8PK2l7WJ3RER9xtqwdhxkhw/edit?usp=sharing"",""สระแก้ว!J159"")"),"")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IFERROR(__xludf.DUMMYFUNCTION("IMPORTRANGE(""https://docs.google.com/spreadsheets/d/1SX6NBoVAgQJ6U1MVXOaj8PK2l7WJ3RER9xtqwdhxkhw/edit?usp=sharing"",""สระแก้ว!J161"")"),0)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IFERROR(__xludf.DUMMYFUNCTION("IMPORTRANGE(""https://docs.google.com/spreadsheets/d/1SX6NBoVAgQJ6U1MVXOaj8PK2l7WJ3RER9xtqwdhxkhw/edit?usp=sharing"",""สระแก้ว!J162"")"),0)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IFERROR(__xludf.DUMMYFUNCTION("IMPORTRANGE(""https://docs.google.com/spreadsheets/d/1SX6NBoVAgQJ6U1MVXOaj8PK2l7WJ3RER9xtqwdhxkhw/edit?usp=sharing"",""สระแก้ว!J163"")"),0)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IFERROR(__xludf.DUMMYFUNCTION("IMPORTRANGE(""https://docs.google.com/spreadsheets/d/1SX6NBoVAgQJ6U1MVXOaj8PK2l7WJ3RER9xtqwdhxkhw/edit?usp=sharing"",""สระแก้ว!I164"")"),0)</f>
        <v>0</v>
      </c>
      <c r="J244" s="188">
        <f ca="1">IFERROR(__xludf.DUMMYFUNCTION("IMPORTRANGE(""https://docs.google.com/spreadsheets/d/1SX6NBoVAgQJ6U1MVXOaj8PK2l7WJ3RER9xtqwdhxkhw/edit?usp=sharing"",""สระแก้ว!J164"")"),0)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IFERROR(__xludf.DUMMYFUNCTION("IMPORTRANGE(""https://docs.google.com/spreadsheets/d/1SX6NBoVAgQJ6U1MVXOaj8PK2l7WJ3RER9xtqwdhxkhw/edit?usp=sharing"",""สระแก้ว!J165"")"),0)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IFERROR(__xludf.DUMMYFUNCTION("IMPORTRANGE(""https://docs.google.com/spreadsheets/d/1SX6NBoVAgQJ6U1MVXOaj8PK2l7WJ3RER9xtqwdhxkhw/edit?usp=sharing"",""สระแก้ว!J166"")"),0)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IFERROR(__xludf.DUMMYFUNCTION("IMPORTRANGE(""https://docs.google.com/spreadsheets/d/1SX6NBoVAgQJ6U1MVXOaj8PK2l7WJ3RER9xtqwdhxkhw/edit?usp=sharing"",""สระแก้ว!I169"")"),0)</f>
        <v>0</v>
      </c>
      <c r="J249" s="317">
        <f ca="1">IFERROR(__xludf.DUMMYFUNCTION("IMPORTRANGE(""https://docs.google.com/spreadsheets/d/1SX6NBoVAgQJ6U1MVXOaj8PK2l7WJ3RER9xtqwdhxkhw/edit?usp=sharing"",""สระแก้ว!J169"")"),0)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IFERROR(__xludf.DUMMYFUNCTION("IMPORTRANGE(""https://docs.google.com/spreadsheets/d/1Yj_ptqi66GCucihVvJfMjLAmec39IyEx_6qawtMGysU/edit?usp=sharing"",""สบก!CB75"")"),0)</f>
        <v>0</v>
      </c>
      <c r="N254" s="169">
        <f ca="1">IFERROR(__xludf.DUMMYFUNCTION("IMPORTRANGE(""https://docs.google.com/spreadsheets/d/1Yj_ptqi66GCucihVvJfMjLAmec39IyEx_6qawtMGysU/edit?usp=sharing"",""สบก!CC75"")"),0)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IFERROR(__xludf.DUMMYFUNCTION("IMPORTRANGE(""https://docs.google.com/spreadsheets/d/1Yj_ptqi66GCucihVvJfMjLAmec39IyEx_6qawtMGysU/edit?usp=sharing"",""สบก!BZ75"")"),0)</f>
        <v>0</v>
      </c>
      <c r="M258" s="49"/>
      <c r="N258" s="49">
        <f ca="1">IFERROR(__xludf.DUMMYFUNCTION("IMPORTRANGE(""https://docs.google.com/spreadsheets/d/1Yj_ptqi66GCucihVvJfMjLAmec39IyEx_6qawtMGysU/edit?usp=sharing"",""สบก!CD75"")"),0)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IFERROR(__xludf.DUMMYFUNCTION("IMPORTRANGE(""https://docs.google.com/spreadsheets/d/1SX6NBoVAgQJ6U1MVXOaj8PK2l7WJ3RER9xtqwdhxkhw/edit?usp=sharing"",""สระแก้ว!J175"")"),0)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IFERROR(__xludf.DUMMYFUNCTION("IMPORTRANGE(""https://docs.google.com/spreadsheets/d/1SX6NBoVAgQJ6U1MVXOaj8PK2l7WJ3RER9xtqwdhxkhw/edit?usp=sharing"",""สระแก้ว!J176"")"),0)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IFERROR(__xludf.DUMMYFUNCTION("IMPORTRANGE(""https://docs.google.com/spreadsheets/d/1SX6NBoVAgQJ6U1MVXOaj8PK2l7WJ3RER9xtqwdhxkhw/edit?usp=sharing"",""สระแก้ว!J177"")"),0)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IFERROR(__xludf.DUMMYFUNCTION("IMPORTRANGE(""https://docs.google.com/spreadsheets/d/1SX6NBoVAgQJ6U1MVXOaj8PK2l7WJ3RER9xtqwdhxkhw/edit?usp=sharing"",""สระแก้ว!J178"")"),0)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IFERROR(__xludf.DUMMYFUNCTION("IMPORTRANGE(""https://docs.google.com/spreadsheets/d/1SX6NBoVAgQJ6U1MVXOaj8PK2l7WJ3RER9xtqwdhxkhw/edit?usp=sharing"",""สระแก้ว!I179"")"),0)</f>
        <v>0</v>
      </c>
      <c r="J264" s="189">
        <f ca="1">IFERROR(__xludf.DUMMYFUNCTION("IMPORTRANGE(""https://docs.google.com/spreadsheets/d/1SX6NBoVAgQJ6U1MVXOaj8PK2l7WJ3RER9xtqwdhxkhw/edit?usp=sharing"",""สระแก้ว!J179"")"),0)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IFERROR(__xludf.DUMMYFUNCTION("IMPORTRANGE(""https://docs.google.com/spreadsheets/d/1SX6NBoVAgQJ6U1MVXOaj8PK2l7WJ3RER9xtqwdhxkhw/edit?usp=sharing"",""สระแก้ว!I180"")"),0)</f>
        <v>0</v>
      </c>
      <c r="J265" s="189">
        <f ca="1">IFERROR(__xludf.DUMMYFUNCTION("IMPORTRANGE(""https://docs.google.com/spreadsheets/d/1SX6NBoVAgQJ6U1MVXOaj8PK2l7WJ3RER9xtqwdhxkhw/edit?usp=sharing"",""สระแก้ว!J180"")"),0)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IFERROR(__xludf.DUMMYFUNCTION("IMPORTRANGE(""https://docs.google.com/spreadsheets/d/1SX6NBoVAgQJ6U1MVXOaj8PK2l7WJ3RER9xtqwdhxkhw/edit?usp=sharing"",""สระแก้ว!I181"")"),0)</f>
        <v>0</v>
      </c>
      <c r="J266" s="189">
        <f ca="1">IFERROR(__xludf.DUMMYFUNCTION("IMPORTRANGE(""https://docs.google.com/spreadsheets/d/1SX6NBoVAgQJ6U1MVXOaj8PK2l7WJ3RER9xtqwdhxkhw/edit?usp=sharing"",""สระแก้ว!J181"")"),0)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IFERROR(__xludf.DUMMYFUNCTION("IMPORTRANGE(""https://docs.google.com/spreadsheets/d/1SX6NBoVAgQJ6U1MVXOaj8PK2l7WJ3RER9xtqwdhxkhw/edit?usp=sharing"",""สระแก้ว!I182"")"),0)</f>
        <v>0</v>
      </c>
      <c r="J267" s="189">
        <f ca="1">IFERROR(__xludf.DUMMYFUNCTION("IMPORTRANGE(""https://docs.google.com/spreadsheets/d/1SX6NBoVAgQJ6U1MVXOaj8PK2l7WJ3RER9xtqwdhxkhw/edit?usp=sharing"",""สระแก้ว!J182"")"),0)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IFERROR(__xludf.DUMMYFUNCTION("IMPORTRANGE(""https://docs.google.com/spreadsheets/d/1SX6NBoVAgQJ6U1MVXOaj8PK2l7WJ3RER9xtqwdhxkhw/edit?usp=sharing"",""สระแก้ว!J183"")"),0)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IFERROR(__xludf.DUMMYFUNCTION("IMPORTRANGE(""https://docs.google.com/spreadsheets/d/1SX6NBoVAgQJ6U1MVXOaj8PK2l7WJ3RER9xtqwdhxkhw/edit?usp=sharing"",""สระแก้ว!J184"")"),0)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IFERROR(__xludf.DUMMYFUNCTION("IMPORTRANGE(""https://docs.google.com/spreadsheets/d/1SX6NBoVAgQJ6U1MVXOaj8PK2l7WJ3RER9xtqwdhxkhw/edit?usp=sharing"",""สระแก้ว!I185"")"),15)</f>
        <v>15</v>
      </c>
      <c r="J270" s="317">
        <f ca="1">IFERROR(__xludf.DUMMYFUNCTION("IMPORTRANGE(""https://docs.google.com/spreadsheets/d/1SX6NBoVAgQJ6U1MVXOaj8PK2l7WJ3RER9xtqwdhxkhw/edit?usp=sharing"",""สระแก้ว!J185"")"),15)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43350</v>
      </c>
      <c r="O271" s="151">
        <f t="shared" ref="O271:O273" ca="1" si="84">IF(L271&gt;0,N271*100/L271,0)</f>
        <v>78.532608695652172</v>
      </c>
      <c r="P271" s="151">
        <f t="shared" ref="P271:P273" ca="1" si="85">IF(M271&gt;0,N271*100/M271,0)</f>
        <v>78.532608695652172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43350</v>
      </c>
      <c r="O273" s="156">
        <f t="shared" ca="1" si="84"/>
        <v>78.532608695652172</v>
      </c>
      <c r="P273" s="156">
        <f t="shared" ca="1" si="85"/>
        <v>78.532608695652172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IFERROR(__xludf.DUMMYFUNCTION("IMPORTRANGE(""https://docs.google.com/spreadsheets/d/1Yj_ptqi66GCucihVvJfMjLAmec39IyEx_6qawtMGysU/edit?usp=sharing"",""สบก!CK75"")"),55200)</f>
        <v>55200</v>
      </c>
      <c r="N275" s="169">
        <f ca="1">IFERROR(__xludf.DUMMYFUNCTION("IMPORTRANGE(""https://docs.google.com/spreadsheets/d/1Yj_ptqi66GCucihVvJfMjLAmec39IyEx_6qawtMGysU/edit?usp=sharing"",""สบก!CL75"")"),43350)</f>
        <v>43350</v>
      </c>
      <c r="O275" s="169">
        <f ca="1">IF(L275&gt;0,N275*100/L275,0)</f>
        <v>78.532608695652172</v>
      </c>
      <c r="P275" s="169">
        <f ca="1">IF(M275&gt;0,N275*100/M275,0)</f>
        <v>78.532608695652172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IFERROR(__xludf.DUMMYFUNCTION("IMPORTRANGE(""https://docs.google.com/spreadsheets/d/1Yj_ptqi66GCucihVvJfMjLAmec39IyEx_6qawtMGysU/edit?usp=sharing"",""สบก!CI75"")"),0)</f>
        <v>0</v>
      </c>
      <c r="M279" s="49"/>
      <c r="N279" s="49">
        <f ca="1">IFERROR(__xludf.DUMMYFUNCTION("IMPORTRANGE(""https://docs.google.com/spreadsheets/d/1Yj_ptqi66GCucihVvJfMjLAmec39IyEx_6qawtMGysU/edit?usp=sharing"",""สบก!CM75"")"),0)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IFERROR(__xludf.DUMMYFUNCTION("IMPORTRANGE(""https://docs.google.com/spreadsheets/d/1SX6NBoVAgQJ6U1MVXOaj8PK2l7WJ3RER9xtqwdhxkhw/edit?usp=sharing"",""สระแก้ว!J191"")"),0)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IFERROR(__xludf.DUMMYFUNCTION("IMPORTRANGE(""https://docs.google.com/spreadsheets/d/1SX6NBoVAgQJ6U1MVXOaj8PK2l7WJ3RER9xtqwdhxkhw/edit?usp=sharing"",""สระแก้ว!J192"")"),1)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IFERROR(__xludf.DUMMYFUNCTION("IMPORTRANGE(""https://docs.google.com/spreadsheets/d/1SX6NBoVAgQJ6U1MVXOaj8PK2l7WJ3RER9xtqwdhxkhw/edit?usp=sharing"",""สระแก้ว!J193"")"),1)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IFERROR(__xludf.DUMMYFUNCTION("IMPORTRANGE(""https://docs.google.com/spreadsheets/d/1SX6NBoVAgQJ6U1MVXOaj8PK2l7WJ3RER9xtqwdhxkhw/edit?usp=sharing"",""สระแก้ว!J194"")"),1)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IFERROR(__xludf.DUMMYFUNCTION("IMPORTRANGE(""https://docs.google.com/spreadsheets/d/1SX6NBoVAgQJ6U1MVXOaj8PK2l7WJ3RER9xtqwdhxkhw/edit?usp=sharing"",""สระแก้ว!I195"")"),15)</f>
        <v>15</v>
      </c>
      <c r="J285" s="189">
        <f ca="1">IFERROR(__xludf.DUMMYFUNCTION("IMPORTRANGE(""https://docs.google.com/spreadsheets/d/1SX6NBoVAgQJ6U1MVXOaj8PK2l7WJ3RER9xtqwdhxkhw/edit?usp=sharing"",""สระแก้ว!J195"")"),15)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IFERROR(__xludf.DUMMYFUNCTION("IMPORTRANGE(""https://docs.google.com/spreadsheets/d/1SX6NBoVAgQJ6U1MVXOaj8PK2l7WJ3RER9xtqwdhxkhw/edit?usp=sharing"",""สระแก้ว!J196"")"),0)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IFERROR(__xludf.DUMMYFUNCTION("IMPORTRANGE(""https://docs.google.com/spreadsheets/d/1SX6NBoVAgQJ6U1MVXOaj8PK2l7WJ3RER9xtqwdhxkhw/edit?usp=sharing"",""สระแก้ว!J197"")"),0)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IFERROR(__xludf.DUMMYFUNCTION("IMPORTRANGE(""https://docs.google.com/spreadsheets/d/1SX6NBoVAgQJ6U1MVXOaj8PK2l7WJ3RER9xtqwdhxkhw/edit?usp=sharing"",""สระแก้ว!I199"")"),40)</f>
        <v>40</v>
      </c>
      <c r="J289" s="317">
        <f ca="1">IFERROR(__xludf.DUMMYFUNCTION("IMPORTRANGE(""https://docs.google.com/spreadsheets/d/1SX6NBoVAgQJ6U1MVXOaj8PK2l7WJ3RER9xtqwdhxkhw/edit?usp=sharing"",""สระแก้ว!J199"")"),40)</f>
        <v>40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123640</v>
      </c>
      <c r="M290" s="152">
        <f t="shared" ca="1" si="88"/>
        <v>123640</v>
      </c>
      <c r="N290" s="152">
        <f t="shared" ca="1" si="88"/>
        <v>120100</v>
      </c>
      <c r="O290" s="151">
        <f t="shared" ref="O290:O292" ca="1" si="89">IF(L290&gt;0,N290*100/L290,0)</f>
        <v>97.136848916208351</v>
      </c>
      <c r="P290" s="151">
        <f t="shared" ref="P290:P292" ca="1" si="90">IF(M290&gt;0,N290*100/M290,0)</f>
        <v>97.136848916208351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123640</v>
      </c>
      <c r="M292" s="157">
        <f t="shared" ca="1" si="92"/>
        <v>123640</v>
      </c>
      <c r="N292" s="157">
        <f t="shared" ca="1" si="92"/>
        <v>120100</v>
      </c>
      <c r="O292" s="156">
        <f t="shared" ca="1" si="89"/>
        <v>97.136848916208351</v>
      </c>
      <c r="P292" s="156">
        <f t="shared" ca="1" si="90"/>
        <v>97.136848916208351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123640</v>
      </c>
      <c r="M294" s="168">
        <f ca="1">IFERROR(__xludf.DUMMYFUNCTION("IMPORTRANGE(""https://docs.google.com/spreadsheets/d/1Yj_ptqi66GCucihVvJfMjLAmec39IyEx_6qawtMGysU/edit?usp=sharing"",""สบก!CT75"")"),123640)</f>
        <v>123640</v>
      </c>
      <c r="N294" s="169">
        <f ca="1">IFERROR(__xludf.DUMMYFUNCTION("IMPORTRANGE(""https://docs.google.com/spreadsheets/d/1Yj_ptqi66GCucihVvJfMjLAmec39IyEx_6qawtMGysU/edit?usp=sharing"",""สบก!CU75"")"),120100)</f>
        <v>120100</v>
      </c>
      <c r="O294" s="169">
        <f ca="1">IF(L294&gt;0,N294*100/L294,0)</f>
        <v>97.136848916208351</v>
      </c>
      <c r="P294" s="169">
        <f ca="1">IF(M294&gt;0,N294*100/M294,0)</f>
        <v>97.136848916208351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IFERROR(__xludf.DUMMYFUNCTION("IMPORTRANGE(""https://docs.google.com/spreadsheets/d/1Yj_ptqi66GCucihVvJfMjLAmec39IyEx_6qawtMGysU/edit?usp=sharing"",""สบก!CQ75"")"),123640)</f>
        <v>123640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IFERROR(__xludf.DUMMYFUNCTION("IMPORTRANGE(""https://docs.google.com/spreadsheets/d/1Yj_ptqi66GCucihVvJfMjLAmec39IyEx_6qawtMGysU/edit?usp=sharing"",""สบก!CR75"")"),0)</f>
        <v>0</v>
      </c>
      <c r="M298" s="49"/>
      <c r="N298" s="49">
        <f ca="1">IFERROR(__xludf.DUMMYFUNCTION("IMPORTRANGE(""https://docs.google.com/spreadsheets/d/1Yj_ptqi66GCucihVvJfMjLAmec39IyEx_6qawtMGysU/edit?usp=sharing"",""สบก!CV75"")"),0)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IFERROR(__xludf.DUMMYFUNCTION("IMPORTRANGE(""https://docs.google.com/spreadsheets/d/1SX6NBoVAgQJ6U1MVXOaj8PK2l7WJ3RER9xtqwdhxkhw/edit?usp=sharing"",""สระแก้ว!J205"")"),0)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IFERROR(__xludf.DUMMYFUNCTION("IMPORTRANGE(""https://docs.google.com/spreadsheets/d/1SX6NBoVAgQJ6U1MVXOaj8PK2l7WJ3RER9xtqwdhxkhw/edit?usp=sharing"",""สระแก้ว!J206"")"),1)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IFERROR(__xludf.DUMMYFUNCTION("IMPORTRANGE(""https://docs.google.com/spreadsheets/d/1SX6NBoVAgQJ6U1MVXOaj8PK2l7WJ3RER9xtqwdhxkhw/edit?usp=sharing"",""สระแก้ว!J207"")"),1)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IFERROR(__xludf.DUMMYFUNCTION("IMPORTRANGE(""https://docs.google.com/spreadsheets/d/1SX6NBoVAgQJ6U1MVXOaj8PK2l7WJ3RER9xtqwdhxkhw/edit?usp=sharing"",""สระแก้ว!J208"")"),1)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IFERROR(__xludf.DUMMYFUNCTION("IMPORTRANGE(""https://docs.google.com/spreadsheets/d/1SX6NBoVAgQJ6U1MVXOaj8PK2l7WJ3RER9xtqwdhxkhw/edit?usp=sharing"",""สระแก้ว!I209"")"),40)</f>
        <v>40</v>
      </c>
      <c r="J304" s="204">
        <f ca="1">IFERROR(__xludf.DUMMYFUNCTION("IMPORTRANGE(""https://docs.google.com/spreadsheets/d/1SX6NBoVAgQJ6U1MVXOaj8PK2l7WJ3RER9xtqwdhxkhw/edit?usp=sharing"",""สระแก้ว!J209"")"),40)</f>
        <v>40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IFERROR(__xludf.DUMMYFUNCTION("IMPORTRANGE(""https://docs.google.com/spreadsheets/d/1SX6NBoVAgQJ6U1MVXOaj8PK2l7WJ3RER9xtqwdhxkhw/edit?usp=sharing"",""สระแก้ว!I211"")"),40)</f>
        <v>40</v>
      </c>
      <c r="J306" s="204">
        <f ca="1">IFERROR(__xludf.DUMMYFUNCTION("IMPORTRANGE(""https://docs.google.com/spreadsheets/d/1SX6NBoVAgQJ6U1MVXOaj8PK2l7WJ3RER9xtqwdhxkhw/edit?usp=sharing"",""สระแก้ว!J211"")"),40)</f>
        <v>40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IFERROR(__xludf.DUMMYFUNCTION("IMPORTRANGE(""https://docs.google.com/spreadsheets/d/1SX6NBoVAgQJ6U1MVXOaj8PK2l7WJ3RER9xtqwdhxkhw/edit?usp=sharing"",""สระแก้ว!J212"")"),0)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IFERROR(__xludf.DUMMYFUNCTION("IMPORTRANGE(""https://docs.google.com/spreadsheets/d/1SX6NBoVAgQJ6U1MVXOaj8PK2l7WJ3RER9xtqwdhxkhw/edit?usp=sharing"",""สระแก้ว!J213"")"),0)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IFERROR(__xludf.DUMMYFUNCTION("IMPORTRANGE(""https://docs.google.com/spreadsheets/d/1SX6NBoVAgQJ6U1MVXOaj8PK2l7WJ3RER9xtqwdhxkhw/edit?usp=sharing"",""สระแก้ว!I214"")"),10)</f>
        <v>10</v>
      </c>
      <c r="J309" s="334">
        <f ca="1">IFERROR(__xludf.DUMMYFUNCTION("IMPORTRANGE(""https://docs.google.com/spreadsheets/d/1SX6NBoVAgQJ6U1MVXOaj8PK2l7WJ3RER9xtqwdhxkhw/edit?usp=sharing"",""สระแก้ว!J214"")"),10)</f>
        <v>10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395600</v>
      </c>
      <c r="M310" s="152">
        <f t="shared" ca="1" si="93"/>
        <v>395600</v>
      </c>
      <c r="N310" s="152">
        <f t="shared" ca="1" si="93"/>
        <v>235891</v>
      </c>
      <c r="O310" s="151">
        <f t="shared" ref="O310:O312" ca="1" si="94">IF(L310&gt;0,N310*100/L310,0)</f>
        <v>59.628665318503536</v>
      </c>
      <c r="P310" s="151">
        <f t="shared" ref="P310:P312" ca="1" si="95">IF(M310&gt;0,N310*100/M310,0)</f>
        <v>59.628665318503536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395600</v>
      </c>
      <c r="M312" s="157">
        <f t="shared" ca="1" si="97"/>
        <v>395600</v>
      </c>
      <c r="N312" s="157">
        <f t="shared" ca="1" si="97"/>
        <v>235891</v>
      </c>
      <c r="O312" s="156">
        <f t="shared" ca="1" si="94"/>
        <v>59.628665318503536</v>
      </c>
      <c r="P312" s="156">
        <f t="shared" ca="1" si="95"/>
        <v>59.628665318503536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395600</v>
      </c>
      <c r="M314" s="168">
        <f ca="1">IFERROR(__xludf.DUMMYFUNCTION("IMPORTRANGE(""https://docs.google.com/spreadsheets/d/1Yj_ptqi66GCucihVvJfMjLAmec39IyEx_6qawtMGysU/edit?usp=sharing"",""สบก!DC75"")"),395600)</f>
        <v>395600</v>
      </c>
      <c r="N314" s="169">
        <f ca="1">IFERROR(__xludf.DUMMYFUNCTION("IMPORTRANGE(""https://docs.google.com/spreadsheets/d/1Yj_ptqi66GCucihVvJfMjLAmec39IyEx_6qawtMGysU/edit?usp=sharing"",""สบก!DD75"")"),235891)</f>
        <v>235891</v>
      </c>
      <c r="O314" s="169">
        <f ca="1">IF(L314&gt;0,N314*100/L314,0)</f>
        <v>59.628665318503536</v>
      </c>
      <c r="P314" s="169">
        <f ca="1">IF(M314&gt;0,N314*100/M314,0)</f>
        <v>59.628665318503536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IFERROR(__xludf.DUMMYFUNCTION("IMPORTRANGE(""https://docs.google.com/spreadsheets/d/1Yj_ptqi66GCucihVvJfMjLAmec39IyEx_6qawtMGysU/edit?usp=sharing"",""สบก!CZ75"")"),395600)</f>
        <v>395600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IFERROR(__xludf.DUMMYFUNCTION("IMPORTRANGE(""https://docs.google.com/spreadsheets/d/1Yj_ptqi66GCucihVvJfMjLAmec39IyEx_6qawtMGysU/edit?usp=sharing"",""สบก!DA75"")"),0)</f>
        <v>0</v>
      </c>
      <c r="M318" s="49"/>
      <c r="N318" s="49">
        <f ca="1">IFERROR(__xludf.DUMMYFUNCTION("IMPORTRANGE(""https://docs.google.com/spreadsheets/d/1Yj_ptqi66GCucihVvJfMjLAmec39IyEx_6qawtMGysU/edit?usp=sharing"",""สบก!DE75"")"),0)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IFERROR(__xludf.DUMMYFUNCTION("IMPORTRANGE(""https://docs.google.com/spreadsheets/d/1SX6NBoVAgQJ6U1MVXOaj8PK2l7WJ3RER9xtqwdhxkhw/edit?usp=sharing"",""สระแก้ว!J220"")"),0)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IFERROR(__xludf.DUMMYFUNCTION("IMPORTRANGE(""https://docs.google.com/spreadsheets/d/1SX6NBoVAgQJ6U1MVXOaj8PK2l7WJ3RER9xtqwdhxkhw/edit?usp=sharing"",""สระแก้ว!J221"")"),1)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IFERROR(__xludf.DUMMYFUNCTION("IMPORTRANGE(""https://docs.google.com/spreadsheets/d/1SX6NBoVAgQJ6U1MVXOaj8PK2l7WJ3RER9xtqwdhxkhw/edit?usp=sharing"",""สระแก้ว!J222"")"),1)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IFERROR(__xludf.DUMMYFUNCTION("IMPORTRANGE(""https://docs.google.com/spreadsheets/d/1SX6NBoVAgQJ6U1MVXOaj8PK2l7WJ3RER9xtqwdhxkhw/edit?usp=sharing"",""สระแก้ว!J223"")"),1)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IFERROR(__xludf.DUMMYFUNCTION("IMPORTRANGE(""https://docs.google.com/spreadsheets/d/1SX6NBoVAgQJ6U1MVXOaj8PK2l7WJ3RER9xtqwdhxkhw/edit?usp=sharing"",""สระแก้ว!I224"")"),10)</f>
        <v>10</v>
      </c>
      <c r="J324" s="204">
        <f ca="1">IFERROR(__xludf.DUMMYFUNCTION("IMPORTRANGE(""https://docs.google.com/spreadsheets/d/1SX6NBoVAgQJ6U1MVXOaj8PK2l7WJ3RER9xtqwdhxkhw/edit?usp=sharing"",""สระแก้ว!J224"")"),10)</f>
        <v>10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IFERROR(__xludf.DUMMYFUNCTION("IMPORTRANGE(""https://docs.google.com/spreadsheets/d/1SX6NBoVAgQJ6U1MVXOaj8PK2l7WJ3RER9xtqwdhxkhw/edit?usp=sharing"",""สระแก้ว!J225"")"),0)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IFERROR(__xludf.DUMMYFUNCTION("IMPORTRANGE(""https://docs.google.com/spreadsheets/d/1SX6NBoVAgQJ6U1MVXOaj8PK2l7WJ3RER9xtqwdhxkhw/edit?usp=sharing"",""สระแก้ว!J226"")"),0)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IFERROR(__xludf.DUMMYFUNCTION("IMPORTRANGE(""https://docs.google.com/spreadsheets/d/1SX6NBoVAgQJ6U1MVXOaj8PK2l7WJ3RER9xtqwdhxkhw/edit?usp=sharing"",""สระแก้ว!I228"")"),955)</f>
        <v>955</v>
      </c>
      <c r="J328" s="340">
        <f ca="1">IFERROR(__xludf.DUMMYFUNCTION("IMPORTRANGE(""https://docs.google.com/spreadsheets/d/1SX6NBoVAgQJ6U1MVXOaj8PK2l7WJ3RER9xtqwdhxkhw/edit?usp=sharing"",""สระแก้ว!J228"")"),952)</f>
        <v>952</v>
      </c>
      <c r="K328" s="318">
        <f ca="1">IF(I328&gt;0,J328*100/I328,0)</f>
        <v>99.685863874345543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1514540</v>
      </c>
      <c r="M329" s="152">
        <f t="shared" ca="1" si="98"/>
        <v>1618945</v>
      </c>
      <c r="N329" s="152">
        <f t="shared" ca="1" si="98"/>
        <v>1291173.21</v>
      </c>
      <c r="O329" s="151">
        <f t="shared" ref="O329:O331" ca="1" si="99">IF(L329&gt;0,N329*100/L329,0)</f>
        <v>85.251839502423181</v>
      </c>
      <c r="P329" s="151">
        <f t="shared" ref="P329:P331" ca="1" si="100">IF(M329&gt;0,N329*100/M329,0)</f>
        <v>79.753988554274542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1514540</v>
      </c>
      <c r="M331" s="157">
        <f t="shared" ca="1" si="102"/>
        <v>1618945</v>
      </c>
      <c r="N331" s="157">
        <f t="shared" ca="1" si="102"/>
        <v>1291173.21</v>
      </c>
      <c r="O331" s="156">
        <f t="shared" ca="1" si="99"/>
        <v>85.251839502423181</v>
      </c>
      <c r="P331" s="156">
        <f t="shared" ca="1" si="100"/>
        <v>79.753988554274542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1367540</v>
      </c>
      <c r="M333" s="168">
        <f ca="1">IFERROR(__xludf.DUMMYFUNCTION("IMPORTRANGE(""https://docs.google.com/spreadsheets/d/1Yj_ptqi66GCucihVvJfMjLAmec39IyEx_6qawtMGysU/edit?usp=sharing"",""สบก!DL75"")"),1471945)</f>
        <v>1471945</v>
      </c>
      <c r="N333" s="169">
        <f ca="1">IFERROR(__xludf.DUMMYFUNCTION("IMPORTRANGE(""https://docs.google.com/spreadsheets/d/1Yj_ptqi66GCucihVvJfMjLAmec39IyEx_6qawtMGysU/edit?usp=sharing"",""สบก!DM75"")"),1144173.21)</f>
        <v>1144173.21</v>
      </c>
      <c r="O333" s="169">
        <f ca="1">IF(L333&gt;0,N333*100/L333,0)</f>
        <v>83.666526024832905</v>
      </c>
      <c r="P333" s="169">
        <f ca="1">IF(M333&gt;0,N333*100/M333,0)</f>
        <v>77.732062678972383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IFERROR(__xludf.DUMMYFUNCTION("IMPORTRANGE(""https://docs.google.com/spreadsheets/d/1Yj_ptqi66GCucihVvJfMjLAmec39IyEx_6qawtMGysU/edit?usp=sharing"",""สบก!DI75"")"),1061540)</f>
        <v>1061540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IFERROR(__xludf.DUMMYFUNCTION("IMPORTRANGE(""https://docs.google.com/spreadsheets/d/1Yj_ptqi66GCucihVvJfMjLAmec39IyEx_6qawtMGysU/edit?usp=sharing"",""สบก!DJ75"")"),147000)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IFERROR(__xludf.DUMMYFUNCTION("IMPORTRANGE(""https://docs.google.com/spreadsheets/d/1Yj_ptqi66GCucihVvJfMjLAmec39IyEx_6qawtMGysU/edit?usp=sharing"",""สบก!DN75"")"),147000)</f>
        <v>147000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IFERROR(__xludf.DUMMYFUNCTION("IMPORTRANGE(""https://docs.google.com/spreadsheets/d/1SX6NBoVAgQJ6U1MVXOaj8PK2l7WJ3RER9xtqwdhxkhw/edit?usp=sharing"",""สระแก้ว!I234"")"),0)</f>
        <v>0</v>
      </c>
      <c r="J339" s="188">
        <f ca="1">IFERROR(__xludf.DUMMYFUNCTION("IMPORTRANGE(""https://docs.google.com/spreadsheets/d/1SX6NBoVAgQJ6U1MVXOaj8PK2l7WJ3RER9xtqwdhxkhw/edit?usp=sharing"",""สระแก้ว!J234"")"),629)</f>
        <v>629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IFERROR(__xludf.DUMMYFUNCTION("IMPORTRANGE(""https://docs.google.com/spreadsheets/d/1SX6NBoVAgQJ6U1MVXOaj8PK2l7WJ3RER9xtqwdhxkhw/edit?usp=sharing"",""สระแก้ว!I235"")"),8720)</f>
        <v>8720</v>
      </c>
      <c r="J340" s="188">
        <f ca="1">IFERROR(__xludf.DUMMYFUNCTION("IMPORTRANGE(""https://docs.google.com/spreadsheets/d/1SX6NBoVAgQJ6U1MVXOaj8PK2l7WJ3RER9xtqwdhxkhw/edit?usp=sharing"",""สระแก้ว!J235"")"),7492.05999999999)</f>
        <v>7492.0599999999904</v>
      </c>
      <c r="K340" s="343">
        <f t="shared" ca="1" si="103"/>
        <v>85.918119266054944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IFERROR(__xludf.DUMMYFUNCTION("IMPORTRANGE(""https://docs.google.com/spreadsheets/d/1SX6NBoVAgQJ6U1MVXOaj8PK2l7WJ3RER9xtqwdhxkhw/edit?usp=sharing"",""สระแก้ว!I236"")"),955)</f>
        <v>955</v>
      </c>
      <c r="J341" s="188">
        <f ca="1">IFERROR(__xludf.DUMMYFUNCTION("IMPORTRANGE(""https://docs.google.com/spreadsheets/d/1SX6NBoVAgQJ6U1MVXOaj8PK2l7WJ3RER9xtqwdhxkhw/edit?usp=sharing"",""สระแก้ว!J236"")"),988)</f>
        <v>988</v>
      </c>
      <c r="K341" s="343">
        <f t="shared" ca="1" si="103"/>
        <v>103.45549738219896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IFERROR(__xludf.DUMMYFUNCTION("IMPORTRANGE(""https://docs.google.com/spreadsheets/d/1SX6NBoVAgQJ6U1MVXOaj8PK2l7WJ3RER9xtqwdhxkhw/edit?usp=sharing"",""สระแก้ว!I237"")"),0)</f>
        <v>0</v>
      </c>
      <c r="J342" s="188">
        <f ca="1">IFERROR(__xludf.DUMMYFUNCTION("IMPORTRANGE(""https://docs.google.com/spreadsheets/d/1SX6NBoVAgQJ6U1MVXOaj8PK2l7WJ3RER9xtqwdhxkhw/edit?usp=sharing"",""สระแก้ว!J237"")"),13719.21)</f>
        <v>13719.21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IFERROR(__xludf.DUMMYFUNCTION("IMPORTRANGE(""https://docs.google.com/spreadsheets/d/1SX6NBoVAgQJ6U1MVXOaj8PK2l7WJ3RER9xtqwdhxkhw/edit?usp=sharing"",""สระแก้ว!I238"")"),955)</f>
        <v>955</v>
      </c>
      <c r="J343" s="188">
        <f ca="1">IFERROR(__xludf.DUMMYFUNCTION("IMPORTRANGE(""https://docs.google.com/spreadsheets/d/1SX6NBoVAgQJ6U1MVXOaj8PK2l7WJ3RER9xtqwdhxkhw/edit?usp=sharing"",""สระแก้ว!J238"")"),0)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IFERROR(__xludf.DUMMYFUNCTION("IMPORTRANGE(""https://docs.google.com/spreadsheets/d/1SX6NBoVAgQJ6U1MVXOaj8PK2l7WJ3RER9xtqwdhxkhw/edit?usp=sharing"",""สระแก้ว!I239"")"),0)</f>
        <v>0</v>
      </c>
      <c r="J344" s="188">
        <f ca="1">IFERROR(__xludf.DUMMYFUNCTION("IMPORTRANGE(""https://docs.google.com/spreadsheets/d/1SX6NBoVAgQJ6U1MVXOaj8PK2l7WJ3RER9xtqwdhxkhw/edit?usp=sharing"",""สระแก้ว!J239"")"),0)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IFERROR(__xludf.DUMMYFUNCTION("IMPORTRANGE(""https://docs.google.com/spreadsheets/d/1SX6NBoVAgQJ6U1MVXOaj8PK2l7WJ3RER9xtqwdhxkhw/edit?usp=sharing"",""สระแก้ว!I240"")"),955)</f>
        <v>955</v>
      </c>
      <c r="J345" s="188">
        <f ca="1">IFERROR(__xludf.DUMMYFUNCTION("IMPORTRANGE(""https://docs.google.com/spreadsheets/d/1SX6NBoVAgQJ6U1MVXOaj8PK2l7WJ3RER9xtqwdhxkhw/edit?usp=sharing"",""สระแก้ว!J240"")"),952)</f>
        <v>952</v>
      </c>
      <c r="K345" s="343">
        <f t="shared" ca="1" si="103"/>
        <v>99.685863874345543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IFERROR(__xludf.DUMMYFUNCTION("IMPORTRANGE(""https://docs.google.com/spreadsheets/d/1SX6NBoVAgQJ6U1MVXOaj8PK2l7WJ3RER9xtqwdhxkhw/edit?usp=sharing"",""สระแก้ว!I241"")"),0)</f>
        <v>0</v>
      </c>
      <c r="J346" s="188">
        <f ca="1">IFERROR(__xludf.DUMMYFUNCTION("IMPORTRANGE(""https://docs.google.com/spreadsheets/d/1SX6NBoVAgQJ6U1MVXOaj8PK2l7WJ3RER9xtqwdhxkhw/edit?usp=sharing"",""สระแก้ว!J241"")"),13207.29)</f>
        <v>13207.29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IFERROR(__xludf.DUMMYFUNCTION("IMPORTRANGE(""https://docs.google.com/spreadsheets/d/1SX6NBoVAgQJ6U1MVXOaj8PK2l7WJ3RER9xtqwdhxkhw/edit?usp=sharing"",""สระแก้ว!L242"")"),2867278)</f>
        <v>2867278</v>
      </c>
      <c r="M347" s="358"/>
      <c r="N347" s="358">
        <f ca="1">IFERROR(__xludf.DUMMYFUNCTION("IMPORTRANGE(""https://docs.google.com/spreadsheets/d/1SX6NBoVAgQJ6U1MVXOaj8PK2l7WJ3RER9xtqwdhxkhw/edit?usp=sharing"",""สระแก้ว!M242"")"),1708790.61999999)</f>
        <v>1708790.6199999901</v>
      </c>
      <c r="O347" s="358">
        <f ca="1">+IF(L347&gt;0,N347*100/L347,0)</f>
        <v>59.596265866092864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IFERROR(__xludf.DUMMYFUNCTION("IMPORTRANGE(""https://docs.google.com/spreadsheets/d/1SX6NBoVAgQJ6U1MVXOaj8PK2l7WJ3RER9xtqwdhxkhw/edit?usp=sharing"",""สระแก้ว!I244"")"),0)</f>
        <v>0</v>
      </c>
      <c r="J349" s="371">
        <f ca="1">IFERROR(__xludf.DUMMYFUNCTION("IMPORTRANGE(""https://docs.google.com/spreadsheets/d/1SX6NBoVAgQJ6U1MVXOaj8PK2l7WJ3RER9xtqwdhxkhw/edit?usp=sharing"",""สระแก้ว!J244"")"),0)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IFERROR(__xludf.DUMMYFUNCTION("IMPORTRANGE(""https://docs.google.com/spreadsheets/d/1SX6NBoVAgQJ6U1MVXOaj8PK2l7WJ3RER9xtqwdhxkhw/edit?usp=sharing"",""สระแก้ว!L244"")"),0)</f>
        <v>0</v>
      </c>
      <c r="M349" s="373"/>
      <c r="N349" s="373">
        <f ca="1">IFERROR(__xludf.DUMMYFUNCTION("IMPORTRANGE(""https://docs.google.com/spreadsheets/d/1SX6NBoVAgQJ6U1MVXOaj8PK2l7WJ3RER9xtqwdhxkhw/edit?usp=sharing"",""สระแก้ว!M244"")"),0)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IFERROR(__xludf.DUMMYFUNCTION("IMPORTRANGE(""https://docs.google.com/spreadsheets/d/1SX6NBoVAgQJ6U1MVXOaj8PK2l7WJ3RER9xtqwdhxkhw/edit?usp=sharing"",""สระแก้ว!I245"")"),0)</f>
        <v>0</v>
      </c>
      <c r="J350" s="371">
        <f ca="1">IFERROR(__xludf.DUMMYFUNCTION("IMPORTRANGE(""https://docs.google.com/spreadsheets/d/1SX6NBoVAgQJ6U1MVXOaj8PK2l7WJ3RER9xtqwdhxkhw/edit?usp=sharing"",""สระแก้ว!J245"")"),0)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IFERROR(__xludf.DUMMYFUNCTION("IMPORTRANGE(""https://docs.google.com/spreadsheets/d/1SX6NBoVAgQJ6U1MVXOaj8PK2l7WJ3RER9xtqwdhxkhw/edit?usp=sharing"",""สระแก้ว!L246"")"),0)</f>
        <v>0</v>
      </c>
      <c r="M351" s="164"/>
      <c r="N351" s="164">
        <f ca="1">IFERROR(__xludf.DUMMYFUNCTION("IMPORTRANGE(""https://docs.google.com/spreadsheets/d/1SX6NBoVAgQJ6U1MVXOaj8PK2l7WJ3RER9xtqwdhxkhw/edit?usp=sharing"",""สระแก้ว!M246"")"),0)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IFERROR(__xludf.DUMMYFUNCTION("IMPORTRANGE(""https://docs.google.com/spreadsheets/d/1SX6NBoVAgQJ6U1MVXOaj8PK2l7WJ3RER9xtqwdhxkhw/edit?usp=sharing"",""สระแก้ว!L247"")"),0)</f>
        <v>0</v>
      </c>
      <c r="M352" s="165"/>
      <c r="N352" s="164">
        <f ca="1">IFERROR(__xludf.DUMMYFUNCTION("IMPORTRANGE(""https://docs.google.com/spreadsheets/d/1SX6NBoVAgQJ6U1MVXOaj8PK2l7WJ3RER9xtqwdhxkhw/edit?usp=sharing"",""สระแก้ว!M247"")"),0)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IFERROR(__xludf.DUMMYFUNCTION("IMPORTRANGE(""https://docs.google.com/spreadsheets/d/1SX6NBoVAgQJ6U1MVXOaj8PK2l7WJ3RER9xtqwdhxkhw/edit?usp=sharing"",""สระแก้ว!L248"")"),0)</f>
        <v>0</v>
      </c>
      <c r="M353" s="169"/>
      <c r="N353" s="169">
        <f ca="1">IFERROR(__xludf.DUMMYFUNCTION("IMPORTRANGE(""https://docs.google.com/spreadsheets/d/1SX6NBoVAgQJ6U1MVXOaj8PK2l7WJ3RER9xtqwdhxkhw/edit?usp=sharing"",""สระแก้ว!M248"")"),0)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IFERROR(__xludf.DUMMYFUNCTION("IMPORTRANGE(""https://docs.google.com/spreadsheets/d/1SX6NBoVAgQJ6U1MVXOaj8PK2l7WJ3RER9xtqwdhxkhw/edit?usp=sharing"",""สระแก้ว!L249"")"),0)</f>
        <v>0</v>
      </c>
      <c r="M354" s="169"/>
      <c r="N354" s="168">
        <f ca="1">IFERROR(__xludf.DUMMYFUNCTION("IMPORTRANGE(""https://docs.google.com/spreadsheets/d/1SX6NBoVAgQJ6U1MVXOaj8PK2l7WJ3RER9xtqwdhxkhw/edit?usp=sharing"",""สระแก้ว!M249"")"),0)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IFERROR(__xludf.DUMMYFUNCTION("IMPORTRANGE(""https://docs.google.com/spreadsheets/d/1SX6NBoVAgQJ6U1MVXOaj8PK2l7WJ3RER9xtqwdhxkhw/edit?usp=sharing"",""สระแก้ว!M250"")"),0)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IFERROR(__xludf.DUMMYFUNCTION("IMPORTRANGE(""https://docs.google.com/spreadsheets/d/1SX6NBoVAgQJ6U1MVXOaj8PK2l7WJ3RER9xtqwdhxkhw/edit?usp=sharing"",""สระแก้ว!M251"")"),0)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IFERROR(__xludf.DUMMYFUNCTION("IMPORTRANGE(""https://docs.google.com/spreadsheets/d/1SX6NBoVAgQJ6U1MVXOaj8PK2l7WJ3RER9xtqwdhxkhw/edit?usp=sharing"",""สระแก้ว!M252"")"),0)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IFERROR(__xludf.DUMMYFUNCTION("IMPORTRANGE(""https://docs.google.com/spreadsheets/d/1SX6NBoVAgQJ6U1MVXOaj8PK2l7WJ3RER9xtqwdhxkhw/edit?usp=sharing"",""สระแก้ว!M253"")"),0)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IFERROR(__xludf.DUMMYFUNCTION("IMPORTRANGE(""https://docs.google.com/spreadsheets/d/1SX6NBoVAgQJ6U1MVXOaj8PK2l7WJ3RER9xtqwdhxkhw/edit?usp=sharing"",""สระแก้ว!J255"")"),0)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IFERROR(__xludf.DUMMYFUNCTION("IMPORTRANGE(""https://docs.google.com/spreadsheets/d/1SX6NBoVAgQJ6U1MVXOaj8PK2l7WJ3RER9xtqwdhxkhw/edit?usp=sharing"",""สระแก้ว!J256"")"),0)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IFERROR(__xludf.DUMMYFUNCTION("IMPORTRANGE(""https://docs.google.com/spreadsheets/d/1SX6NBoVAgQJ6U1MVXOaj8PK2l7WJ3RER9xtqwdhxkhw/edit?usp=sharing"",""สระแก้ว!J257"")"),0)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IFERROR(__xludf.DUMMYFUNCTION("IMPORTRANGE(""https://docs.google.com/spreadsheets/d/1SX6NBoVAgQJ6U1MVXOaj8PK2l7WJ3RER9xtqwdhxkhw/edit?usp=sharing"",""สระแก้ว!J258"")"),0)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IFERROR(__xludf.DUMMYFUNCTION("IMPORTRANGE(""https://docs.google.com/spreadsheets/d/1SX6NBoVAgQJ6U1MVXOaj8PK2l7WJ3RER9xtqwdhxkhw/edit?usp=sharing"",""สระแก้ว!J166"")"),0)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IFERROR(__xludf.DUMMYFUNCTION("IMPORTRANGE(""https://docs.google.com/spreadsheets/d/1SX6NBoVAgQJ6U1MVXOaj8PK2l7WJ3RER9xtqwdhxkhw/edit?usp=sharing"",""สระแก้ว!J166"")"),0)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IFERROR(__xludf.DUMMYFUNCTION("IMPORTRANGE(""https://docs.google.com/spreadsheets/d/1SX6NBoVAgQJ6U1MVXOaj8PK2l7WJ3RER9xtqwdhxkhw/edit?usp=sharing"",""สระแก้ว!J166"")"),0)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IFERROR(__xludf.DUMMYFUNCTION("IMPORTRANGE(""https://docs.google.com/spreadsheets/d/1SX6NBoVAgQJ6U1MVXOaj8PK2l7WJ3RER9xtqwdhxkhw/edit?usp=sharing"",""สระแก้ว!J166"")"),0)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IFERROR(__xludf.DUMMYFUNCTION("IMPORTRANGE(""https://docs.google.com/spreadsheets/d/1SX6NBoVAgQJ6U1MVXOaj8PK2l7WJ3RER9xtqwdhxkhw/edit?usp=sharing"",""สระแก้ว!I263"")"),0)</f>
        <v>0</v>
      </c>
      <c r="J368" s="188">
        <f ca="1">IFERROR(__xludf.DUMMYFUNCTION("IMPORTRANGE(""https://docs.google.com/spreadsheets/d/1SX6NBoVAgQJ6U1MVXOaj8PK2l7WJ3RER9xtqwdhxkhw/edit?usp=sharing"",""สระแก้ว!J263"")"),0)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IFERROR(__xludf.DUMMYFUNCTION("IMPORTRANGE(""https://docs.google.com/spreadsheets/d/1SX6NBoVAgQJ6U1MVXOaj8PK2l7WJ3RER9xtqwdhxkhw/edit?usp=sharing"",""สระแก้ว!I164"")"),0)</f>
        <v>0</v>
      </c>
      <c r="J369" s="204">
        <f ca="1">IFERROR(__xludf.DUMMYFUNCTION("IMPORTRANGE(""https://docs.google.com/spreadsheets/d/1SX6NBoVAgQJ6U1MVXOaj8PK2l7WJ3RER9xtqwdhxkhw/edit?usp=sharing"",""สระแก้ว!J164"")"),0)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IFERROR(__xludf.DUMMYFUNCTION("IMPORTRANGE(""https://docs.google.com/spreadsheets/d/1SX6NBoVAgQJ6U1MVXOaj8PK2l7WJ3RER9xtqwdhxkhw/edit?usp=sharing"",""สระแก้ว!I265"")"),0)</f>
        <v>0</v>
      </c>
      <c r="J370" s="204">
        <f ca="1">IFERROR(__xludf.DUMMYFUNCTION("IMPORTRANGE(""https://docs.google.com/spreadsheets/d/1SX6NBoVAgQJ6U1MVXOaj8PK2l7WJ3RER9xtqwdhxkhw/edit?usp=sharing"",""สระแก้ว!J265"")"),0)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IFERROR(__xludf.DUMMYFUNCTION("IMPORTRANGE(""https://docs.google.com/spreadsheets/d/1SX6NBoVAgQJ6U1MVXOaj8PK2l7WJ3RER9xtqwdhxkhw/edit?usp=sharing"",""สระแก้ว!I164"")"),0)</f>
        <v>0</v>
      </c>
      <c r="J371" s="189">
        <f ca="1">IFERROR(__xludf.DUMMYFUNCTION("IMPORTRANGE(""https://docs.google.com/spreadsheets/d/1SX6NBoVAgQJ6U1MVXOaj8PK2l7WJ3RER9xtqwdhxkhw/edit?usp=sharing"",""สระแก้ว!J164"")"),0)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IFERROR(__xludf.DUMMYFUNCTION("IMPORTRANGE(""https://docs.google.com/spreadsheets/d/1SX6NBoVAgQJ6U1MVXOaj8PK2l7WJ3RER9xtqwdhxkhw/edit?usp=sharing"",""สระแก้ว!I267"")"),0)</f>
        <v>0</v>
      </c>
      <c r="J372" s="189">
        <f ca="1">IFERROR(__xludf.DUMMYFUNCTION("IMPORTRANGE(""https://docs.google.com/spreadsheets/d/1SX6NBoVAgQJ6U1MVXOaj8PK2l7WJ3RER9xtqwdhxkhw/edit?usp=sharing"",""สระแก้ว!J267"")"),0)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IFERROR(__xludf.DUMMYFUNCTION("IMPORTRANGE(""https://docs.google.com/spreadsheets/d/1SX6NBoVAgQJ6U1MVXOaj8PK2l7WJ3RER9xtqwdhxkhw/edit?usp=sharing"",""สระแก้ว!I164"")"),0)</f>
        <v>0</v>
      </c>
      <c r="J373" s="204">
        <f ca="1">IFERROR(__xludf.DUMMYFUNCTION("IMPORTRANGE(""https://docs.google.com/spreadsheets/d/1SX6NBoVAgQJ6U1MVXOaj8PK2l7WJ3RER9xtqwdhxkhw/edit?usp=sharing"",""สระแก้ว!J164"")"),0)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IFERROR(__xludf.DUMMYFUNCTION("IMPORTRANGE(""https://docs.google.com/spreadsheets/d/1SX6NBoVAgQJ6U1MVXOaj8PK2l7WJ3RER9xtqwdhxkhw/edit?usp=sharing"",""สระแก้ว!I164"")"),0)</f>
        <v>0</v>
      </c>
      <c r="J374" s="188">
        <f ca="1">IFERROR(__xludf.DUMMYFUNCTION("IMPORTRANGE(""https://docs.google.com/spreadsheets/d/1SX6NBoVAgQJ6U1MVXOaj8PK2l7WJ3RER9xtqwdhxkhw/edit?usp=sharing"",""สระแก้ว!J164"")"),0)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IFERROR(__xludf.DUMMYFUNCTION("IMPORTRANGE(""https://docs.google.com/spreadsheets/d/1SX6NBoVAgQJ6U1MVXOaj8PK2l7WJ3RER9xtqwdhxkhw/edit?usp=sharing"",""สระแก้ว!I270"")"),0)</f>
        <v>0</v>
      </c>
      <c r="J375" s="188">
        <f ca="1">IFERROR(__xludf.DUMMYFUNCTION("IMPORTRANGE(""https://docs.google.com/spreadsheets/d/1SX6NBoVAgQJ6U1MVXOaj8PK2l7WJ3RER9xtqwdhxkhw/edit?usp=sharing"",""สระแก้ว!J270"")"),0)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IFERROR(__xludf.DUMMYFUNCTION("IMPORTRANGE(""https://docs.google.com/spreadsheets/d/1SX6NBoVAgQJ6U1MVXOaj8PK2l7WJ3RER9xtqwdhxkhw/edit?usp=sharing"",""สระแก้ว!I271"")"),0)</f>
        <v>0</v>
      </c>
      <c r="J376" s="189">
        <f ca="1">IFERROR(__xludf.DUMMYFUNCTION("IMPORTRANGE(""https://docs.google.com/spreadsheets/d/1SX6NBoVAgQJ6U1MVXOaj8PK2l7WJ3RER9xtqwdhxkhw/edit?usp=sharing"",""สระแก้ว!J271"")"),0)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IFERROR(__xludf.DUMMYFUNCTION("IMPORTRANGE(""https://docs.google.com/spreadsheets/d/1SX6NBoVAgQJ6U1MVXOaj8PK2l7WJ3RER9xtqwdhxkhw/edit?usp=sharing"",""สระแก้ว!I272"")"),0)</f>
        <v>0</v>
      </c>
      <c r="J377" s="204">
        <f ca="1">IFERROR(__xludf.DUMMYFUNCTION("IMPORTRANGE(""https://docs.google.com/spreadsheets/d/1SX6NBoVAgQJ6U1MVXOaj8PK2l7WJ3RER9xtqwdhxkhw/edit?usp=sharing"",""สระแก้ว!J272"")"),0)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IFERROR(__xludf.DUMMYFUNCTION("IMPORTRANGE(""https://docs.google.com/spreadsheets/d/1SX6NBoVAgQJ6U1MVXOaj8PK2l7WJ3RER9xtqwdhxkhw/edit?usp=sharing"",""สระแก้ว!J273"")"),0)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IFERROR(__xludf.DUMMYFUNCTION("IMPORTRANGE(""https://docs.google.com/spreadsheets/d/1SX6NBoVAgQJ6U1MVXOaj8PK2l7WJ3RER9xtqwdhxkhw/edit?usp=sharing"",""สระแก้ว!J274"")"),0)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IFERROR(__xludf.DUMMYFUNCTION("IMPORTRANGE(""https://docs.google.com/spreadsheets/d/1SX6NBoVAgQJ6U1MVXOaj8PK2l7WJ3RER9xtqwdhxkhw/edit?usp=sharing"",""สระแก้ว!I275"")"),1000)</f>
        <v>1000</v>
      </c>
      <c r="J380" s="371">
        <f ca="1">IFERROR(__xludf.DUMMYFUNCTION("IMPORTRANGE(""https://docs.google.com/spreadsheets/d/1SX6NBoVAgQJ6U1MVXOaj8PK2l7WJ3RER9xtqwdhxkhw/edit?usp=sharing"",""สระแก้ว!J275"")"),1000)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IFERROR(__xludf.DUMMYFUNCTION("IMPORTRANGE(""https://docs.google.com/spreadsheets/d/1SX6NBoVAgQJ6U1MVXOaj8PK2l7WJ3RER9xtqwdhxkhw/edit?usp=sharing"",""สระแก้ว!L275"")"),1028520)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IFERROR(__xludf.DUMMYFUNCTION("IMPORTRANGE(""https://docs.google.com/spreadsheets/d/1SX6NBoVAgQJ6U1MVXOaj8PK2l7WJ3RER9xtqwdhxkhw/edit?usp=sharing"",""สระแก้ว!M275"")"),716539.49)</f>
        <v>716539.49</v>
      </c>
      <c r="O380" s="373">
        <f ca="1">+IF(L380&gt;0,N380*100/L380,0)</f>
        <v>69.667044880021777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IFERROR(__xludf.DUMMYFUNCTION("IMPORTRANGE(""https://docs.google.com/spreadsheets/d/1SX6NBoVAgQJ6U1MVXOaj8PK2l7WJ3RER9xtqwdhxkhw/edit?usp=sharing"",""สระแก้ว!I276"")"),100)</f>
        <v>100</v>
      </c>
      <c r="J381" s="371">
        <f ca="1">IFERROR(__xludf.DUMMYFUNCTION("IMPORTRANGE(""https://docs.google.com/spreadsheets/d/1SX6NBoVAgQJ6U1MVXOaj8PK2l7WJ3RER9xtqwdhxkhw/edit?usp=sharing"",""สระแก้ว!J276"")"),100)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IFERROR(__xludf.DUMMYFUNCTION("IMPORTRANGE(""https://docs.google.com/spreadsheets/d/1SX6NBoVAgQJ6U1MVXOaj8PK2l7WJ3RER9xtqwdhxkhw/edit?usp=sharing"",""สระแก้ว!L277"")"),0)</f>
        <v>0</v>
      </c>
      <c r="M382" s="164"/>
      <c r="N382" s="164">
        <f ca="1">IFERROR(__xludf.DUMMYFUNCTION("IMPORTRANGE(""https://docs.google.com/spreadsheets/d/1SX6NBoVAgQJ6U1MVXOaj8PK2l7WJ3RER9xtqwdhxkhw/edit?usp=sharing"",""สระแก้ว!M277"")"),0)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IFERROR(__xludf.DUMMYFUNCTION("IMPORTRANGE(""https://docs.google.com/spreadsheets/d/1SX6NBoVAgQJ6U1MVXOaj8PK2l7WJ3RER9xtqwdhxkhw/edit?usp=sharing"",""สระแก้ว!L278"")"),1028520)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IFERROR(__xludf.DUMMYFUNCTION("IMPORTRANGE(""https://docs.google.com/spreadsheets/d/1SX6NBoVAgQJ6U1MVXOaj8PK2l7WJ3RER9xtqwdhxkhw/edit?usp=sharing"",""สระแก้ว!M278"")"),716539.49)</f>
        <v>716539.49</v>
      </c>
      <c r="O383" s="165">
        <f t="shared" ca="1" si="109"/>
        <v>69.667044880021777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IFERROR(__xludf.DUMMYFUNCTION("IMPORTRANGE(""https://docs.google.com/spreadsheets/d/1SX6NBoVAgQJ6U1MVXOaj8PK2l7WJ3RER9xtqwdhxkhw/edit?usp=sharing"",""สระแก้ว!L279"")"),0)</f>
        <v>0</v>
      </c>
      <c r="M384" s="169"/>
      <c r="N384" s="169">
        <f ca="1">IFERROR(__xludf.DUMMYFUNCTION("IMPORTRANGE(""https://docs.google.com/spreadsheets/d/1SX6NBoVAgQJ6U1MVXOaj8PK2l7WJ3RER9xtqwdhxkhw/edit?usp=sharing"",""สระแก้ว!M279"")"),0)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IFERROR(__xludf.DUMMYFUNCTION("IMPORTRANGE(""https://docs.google.com/spreadsheets/d/1SX6NBoVAgQJ6U1MVXOaj8PK2l7WJ3RER9xtqwdhxkhw/edit?usp=sharing"",""สระแก้ว!L280"")"),1028520)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IFERROR(__xludf.DUMMYFUNCTION("IMPORTRANGE(""https://docs.google.com/spreadsheets/d/1SX6NBoVAgQJ6U1MVXOaj8PK2l7WJ3RER9xtqwdhxkhw/edit?usp=sharing"",""สระแก้ว!M280"")"),716539.49)</f>
        <v>716539.49</v>
      </c>
      <c r="O385" s="169">
        <f t="shared" ca="1" si="109"/>
        <v>69.667044880021777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IFERROR(__xludf.DUMMYFUNCTION("IMPORTRANGE(""https://docs.google.com/spreadsheets/d/1SX6NBoVAgQJ6U1MVXOaj8PK2l7WJ3RER9xtqwdhxkhw/edit?usp=sharing"",""สระแก้ว!M281"")"),191090)</f>
        <v>191090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IFERROR(__xludf.DUMMYFUNCTION("IMPORTRANGE(""https://docs.google.com/spreadsheets/d/1SX6NBoVAgQJ6U1MVXOaj8PK2l7WJ3RER9xtqwdhxkhw/edit?usp=sharing"",""สระแก้ว!M282"")"),372000)</f>
        <v>372000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IFERROR(__xludf.DUMMYFUNCTION("IMPORTRANGE(""https://docs.google.com/spreadsheets/d/1SX6NBoVAgQJ6U1MVXOaj8PK2l7WJ3RER9xtqwdhxkhw/edit?usp=sharing"",""สระแก้ว!M283"")"),103929.49)</f>
        <v>103929.49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IFERROR(__xludf.DUMMYFUNCTION("IMPORTRANGE(""https://docs.google.com/spreadsheets/d/1SX6NBoVAgQJ6U1MVXOaj8PK2l7WJ3RER9xtqwdhxkhw/edit?usp=sharing"",""สระแก้ว!M284"")"),49520)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IFERROR(__xludf.DUMMYFUNCTION("IMPORTRANGE(""https://docs.google.com/spreadsheets/d/1SX6NBoVAgQJ6U1MVXOaj8PK2l7WJ3RER9xtqwdhxkhw/edit?usp=sharing"",""สระแก้ว!J286"")"),0)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IFERROR(__xludf.DUMMYFUNCTION("IMPORTRANGE(""https://docs.google.com/spreadsheets/d/1SX6NBoVAgQJ6U1MVXOaj8PK2l7WJ3RER9xtqwdhxkhw/edit?usp=sharing"",""สระแก้ว!J287"")"),1)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IFERROR(__xludf.DUMMYFUNCTION("IMPORTRANGE(""https://docs.google.com/spreadsheets/d/1SX6NBoVAgQJ6U1MVXOaj8PK2l7WJ3RER9xtqwdhxkhw/edit?usp=sharing"",""สระแก้ว!J288"")"),1)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IFERROR(__xludf.DUMMYFUNCTION("IMPORTRANGE(""https://docs.google.com/spreadsheets/d/1SX6NBoVAgQJ6U1MVXOaj8PK2l7WJ3RER9xtqwdhxkhw/edit?usp=sharing"",""สระแก้ว!J289"")"),1)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IFERROR(__xludf.DUMMYFUNCTION("IMPORTRANGE(""https://docs.google.com/spreadsheets/d/1SX6NBoVAgQJ6U1MVXOaj8PK2l7WJ3RER9xtqwdhxkhw/edit?usp=sharing"",""สระแก้ว!I291"")"),100)</f>
        <v>100</v>
      </c>
      <c r="J396" s="198">
        <f ca="1">IFERROR(__xludf.DUMMYFUNCTION("IMPORTRANGE(""https://docs.google.com/spreadsheets/d/1SX6NBoVAgQJ6U1MVXOaj8PK2l7WJ3RER9xtqwdhxkhw/edit?usp=sharing"",""สระแก้ว!J291"")"),100)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IFERROR(__xludf.DUMMYFUNCTION("IMPORTRANGE(""https://docs.google.com/spreadsheets/d/1SX6NBoVAgQJ6U1MVXOaj8PK2l7WJ3RER9xtqwdhxkhw/edit?usp=sharing"",""สระแก้ว!I292"")"),1000)</f>
        <v>1000</v>
      </c>
      <c r="J397" s="198">
        <f ca="1">IFERROR(__xludf.DUMMYFUNCTION("IMPORTRANGE(""https://docs.google.com/spreadsheets/d/1SX6NBoVAgQJ6U1MVXOaj8PK2l7WJ3RER9xtqwdhxkhw/edit?usp=sharing"",""สระแก้ว!J292"")"),1000)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IFERROR(__xludf.DUMMYFUNCTION("IMPORTRANGE(""https://docs.google.com/spreadsheets/d/1SX6NBoVAgQJ6U1MVXOaj8PK2l7WJ3RER9xtqwdhxkhw/edit?usp=sharing"",""สระแก้ว!I293"")"),100)</f>
        <v>100</v>
      </c>
      <c r="J398" s="198">
        <f ca="1">IFERROR(__xludf.DUMMYFUNCTION("IMPORTRANGE(""https://docs.google.com/spreadsheets/d/1SX6NBoVAgQJ6U1MVXOaj8PK2l7WJ3RER9xtqwdhxkhw/edit?usp=sharing"",""สระแก้ว!J293"")"),100)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IFERROR(__xludf.DUMMYFUNCTION("IMPORTRANGE(""https://docs.google.com/spreadsheets/d/1SX6NBoVAgQJ6U1MVXOaj8PK2l7WJ3RER9xtqwdhxkhw/edit?usp=sharing"",""สระแก้ว!J294"")"),0)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IFERROR(__xludf.DUMMYFUNCTION("IMPORTRANGE(""https://docs.google.com/spreadsheets/d/1SX6NBoVAgQJ6U1MVXOaj8PK2l7WJ3RER9xtqwdhxkhw/edit?usp=sharing"",""สระแก้ว!J295"")"),0)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IFERROR(__xludf.DUMMYFUNCTION("IMPORTRANGE(""https://docs.google.com/spreadsheets/d/1SX6NBoVAgQJ6U1MVXOaj8PK2l7WJ3RER9xtqwdhxkhw/edit?usp=sharing"",""สระแก้ว!I296"")"),195)</f>
        <v>195</v>
      </c>
      <c r="J401" s="371">
        <f ca="1">IFERROR(__xludf.DUMMYFUNCTION("IMPORTRANGE(""https://docs.google.com/spreadsheets/d/1SX6NBoVAgQJ6U1MVXOaj8PK2l7WJ3RER9xtqwdhxkhw/edit?usp=sharing"",""สระแก้ว!J296"")"),195)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IFERROR(__xludf.DUMMYFUNCTION("IMPORTRANGE(""https://docs.google.com/spreadsheets/d/1SX6NBoVAgQJ6U1MVXOaj8PK2l7WJ3RER9xtqwdhxkhw/edit?usp=sharing"",""สระแก้ว!L296"")"),196620)</f>
        <v>196620</v>
      </c>
      <c r="M401" s="373"/>
      <c r="N401" s="373">
        <f ca="1">IFERROR(__xludf.DUMMYFUNCTION("IMPORTRANGE(""https://docs.google.com/spreadsheets/d/1SX6NBoVAgQJ6U1MVXOaj8PK2l7WJ3RER9xtqwdhxkhw/edit?usp=sharing"",""สระแก้ว!M296"")"),164764)</f>
        <v>164764</v>
      </c>
      <c r="O401" s="373">
        <f ca="1">+IF(L401&gt;0,N401*100/L401,0)</f>
        <v>83.79818940087479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IFERROR(__xludf.DUMMYFUNCTION("IMPORTRANGE(""https://docs.google.com/spreadsheets/d/1SX6NBoVAgQJ6U1MVXOaj8PK2l7WJ3RER9xtqwdhxkhw/edit?usp=sharing"",""สระแก้ว!I297"")"),65)</f>
        <v>65</v>
      </c>
      <c r="J402" s="371">
        <f ca="1">IFERROR(__xludf.DUMMYFUNCTION("IMPORTRANGE(""https://docs.google.com/spreadsheets/d/1SX6NBoVAgQJ6U1MVXOaj8PK2l7WJ3RER9xtqwdhxkhw/edit?usp=sharing"",""สระแก้ว!J297"")"),65)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IFERROR(__xludf.DUMMYFUNCTION("IMPORTRANGE(""https://docs.google.com/spreadsheets/d/1SX6NBoVAgQJ6U1MVXOaj8PK2l7WJ3RER9xtqwdhxkhw/edit?usp=sharing"",""สระแก้ว!L298"")"),0)</f>
        <v>0</v>
      </c>
      <c r="M403" s="164"/>
      <c r="N403" s="169">
        <f ca="1">IFERROR(__xludf.DUMMYFUNCTION("IMPORTRANGE(""https://docs.google.com/spreadsheets/d/1SX6NBoVAgQJ6U1MVXOaj8PK2l7WJ3RER9xtqwdhxkhw/edit?usp=sharing"",""สระแก้ว!M298"")"),0)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IFERROR(__xludf.DUMMYFUNCTION("IMPORTRANGE(""https://docs.google.com/spreadsheets/d/1SX6NBoVAgQJ6U1MVXOaj8PK2l7WJ3RER9xtqwdhxkhw/edit?usp=sharing"",""สระแก้ว!L299"")"),196620)</f>
        <v>196620</v>
      </c>
      <c r="M404" s="165"/>
      <c r="N404" s="169">
        <f ca="1">IFERROR(__xludf.DUMMYFUNCTION("IMPORTRANGE(""https://docs.google.com/spreadsheets/d/1SX6NBoVAgQJ6U1MVXOaj8PK2l7WJ3RER9xtqwdhxkhw/edit?usp=sharing"",""สระแก้ว!M299"")"),164764)</f>
        <v>164764</v>
      </c>
      <c r="O404" s="169">
        <f t="shared" ca="1" si="112"/>
        <v>83.79818940087479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IFERROR(__xludf.DUMMYFUNCTION("IMPORTRANGE(""https://docs.google.com/spreadsheets/d/1SX6NBoVAgQJ6U1MVXOaj8PK2l7WJ3RER9xtqwdhxkhw/edit?usp=sharing"",""สระแก้ว!L300"")"),0)</f>
        <v>0</v>
      </c>
      <c r="M405" s="169"/>
      <c r="N405" s="169">
        <f ca="1">IFERROR(__xludf.DUMMYFUNCTION("IMPORTRANGE(""https://docs.google.com/spreadsheets/d/1SX6NBoVAgQJ6U1MVXOaj8PK2l7WJ3RER9xtqwdhxkhw/edit?usp=sharing"",""สระแก้ว!M300"")"),0)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IFERROR(__xludf.DUMMYFUNCTION("IMPORTRANGE(""https://docs.google.com/spreadsheets/d/1SX6NBoVAgQJ6U1MVXOaj8PK2l7WJ3RER9xtqwdhxkhw/edit?usp=sharing"",""สระแก้ว!L301"")"),196620)</f>
        <v>196620</v>
      </c>
      <c r="M406" s="169"/>
      <c r="N406" s="169">
        <f ca="1">IFERROR(__xludf.DUMMYFUNCTION("IMPORTRANGE(""https://docs.google.com/spreadsheets/d/1SX6NBoVAgQJ6U1MVXOaj8PK2l7WJ3RER9xtqwdhxkhw/edit?usp=sharing"",""สระแก้ว!M301"")"),164764)</f>
        <v>164764</v>
      </c>
      <c r="O406" s="169">
        <f t="shared" ca="1" si="112"/>
        <v>83.79818940087479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IFERROR(__xludf.DUMMYFUNCTION("IMPORTRANGE(""https://docs.google.com/spreadsheets/d/1SX6NBoVAgQJ6U1MVXOaj8PK2l7WJ3RER9xtqwdhxkhw/edit?usp=sharing"",""สระแก้ว!M302"")"),105714)</f>
        <v>105714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IFERROR(__xludf.DUMMYFUNCTION("IMPORTRANGE(""https://docs.google.com/spreadsheets/d/1SX6NBoVAgQJ6U1MVXOaj8PK2l7WJ3RER9xtqwdhxkhw/edit?usp=sharing"",""สระแก้ว!M303"")"),40700)</f>
        <v>40700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IFERROR(__xludf.DUMMYFUNCTION("IMPORTRANGE(""https://docs.google.com/spreadsheets/d/1SX6NBoVAgQJ6U1MVXOaj8PK2l7WJ3RER9xtqwdhxkhw/edit?usp=sharing"",""สระแก้ว!M304"")"),0)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IFERROR(__xludf.DUMMYFUNCTION("IMPORTRANGE(""https://docs.google.com/spreadsheets/d/1SX6NBoVAgQJ6U1MVXOaj8PK2l7WJ3RER9xtqwdhxkhw/edit?usp=sharing"",""สระแก้ว!M305"")"),18350)</f>
        <v>18350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IFERROR(__xludf.DUMMYFUNCTION("IMPORTRANGE(""https://docs.google.com/spreadsheets/d/1SX6NBoVAgQJ6U1MVXOaj8PK2l7WJ3RER9xtqwdhxkhw/edit?usp=sharing"",""สระแก้ว!J307"")"),0)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IFERROR(__xludf.DUMMYFUNCTION("IMPORTRANGE(""https://docs.google.com/spreadsheets/d/1SX6NBoVAgQJ6U1MVXOaj8PK2l7WJ3RER9xtqwdhxkhw/edit?usp=sharing"",""สระแก้ว!J308"")"),1)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IFERROR(__xludf.DUMMYFUNCTION("IMPORTRANGE(""https://docs.google.com/spreadsheets/d/1SX6NBoVAgQJ6U1MVXOaj8PK2l7WJ3RER9xtqwdhxkhw/edit?usp=sharing"",""สระแก้ว!J309"")"),1)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IFERROR(__xludf.DUMMYFUNCTION("IMPORTRANGE(""https://docs.google.com/spreadsheets/d/1SX6NBoVAgQJ6U1MVXOaj8PK2l7WJ3RER9xtqwdhxkhw/edit?usp=sharing"",""สระแก้ว!J310"")"),1)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IFERROR(__xludf.DUMMYFUNCTION("IMPORTRANGE(""https://docs.google.com/spreadsheets/d/1SX6NBoVAgQJ6U1MVXOaj8PK2l7WJ3RER9xtqwdhxkhw/edit?usp=sharing"",""สระแก้ว!I311"")"),65)</f>
        <v>65</v>
      </c>
      <c r="J416" s="201">
        <f ca="1">IFERROR(__xludf.DUMMYFUNCTION("IMPORTRANGE(""https://docs.google.com/spreadsheets/d/1SX6NBoVAgQJ6U1MVXOaj8PK2l7WJ3RER9xtqwdhxkhw/edit?usp=sharing"",""สระแก้ว!J311"")"),65)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IFERROR(__xludf.DUMMYFUNCTION("IMPORTRANGE(""https://docs.google.com/spreadsheets/d/1SX6NBoVAgQJ6U1MVXOaj8PK2l7WJ3RER9xtqwdhxkhw/edit?usp=sharing"",""สระแก้ว!I312"")"),15)</f>
        <v>15</v>
      </c>
      <c r="J417" s="392">
        <f ca="1">IFERROR(__xludf.DUMMYFUNCTION("IMPORTRANGE(""https://docs.google.com/spreadsheets/d/1SX6NBoVAgQJ6U1MVXOaj8PK2l7WJ3RER9xtqwdhxkhw/edit?usp=sharing"",""สระแก้ว!J312"")"),15)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IFERROR(__xludf.DUMMYFUNCTION("IMPORTRANGE(""https://docs.google.com/spreadsheets/d/1SX6NBoVAgQJ6U1MVXOaj8PK2l7WJ3RER9xtqwdhxkhw/edit?usp=sharing"",""สระแก้ว!I313"")"),45)</f>
        <v>45</v>
      </c>
      <c r="J418" s="393">
        <f ca="1">IFERROR(__xludf.DUMMYFUNCTION("IMPORTRANGE(""https://docs.google.com/spreadsheets/d/1SX6NBoVAgQJ6U1MVXOaj8PK2l7WJ3RER9xtqwdhxkhw/edit?usp=sharing"",""สระแก้ว!J313"")"),45)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IFERROR(__xludf.DUMMYFUNCTION("IMPORTRANGE(""https://docs.google.com/spreadsheets/d/1SX6NBoVAgQJ6U1MVXOaj8PK2l7WJ3RER9xtqwdhxkhw/edit?usp=sharing"",""สระแก้ว!I314"")"),15)</f>
        <v>15</v>
      </c>
      <c r="J419" s="394">
        <f ca="1">IFERROR(__xludf.DUMMYFUNCTION("IMPORTRANGE(""https://docs.google.com/spreadsheets/d/1SX6NBoVAgQJ6U1MVXOaj8PK2l7WJ3RER9xtqwdhxkhw/edit?usp=sharing"",""สระแก้ว!J314"")"),15)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IFERROR(__xludf.DUMMYFUNCTION("IMPORTRANGE(""https://docs.google.com/spreadsheets/d/1SX6NBoVAgQJ6U1MVXOaj8PK2l7WJ3RER9xtqwdhxkhw/edit?usp=sharing"",""สระแก้ว!I315"")"),15)</f>
        <v>15</v>
      </c>
      <c r="J420" s="394">
        <f ca="1">IFERROR(__xludf.DUMMYFUNCTION("IMPORTRANGE(""https://docs.google.com/spreadsheets/d/1SX6NBoVAgQJ6U1MVXOaj8PK2l7WJ3RER9xtqwdhxkhw/edit?usp=sharing"",""สระแก้ว!J315"")"),15)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IFERROR(__xludf.DUMMYFUNCTION("IMPORTRANGE(""https://docs.google.com/spreadsheets/d/1SX6NBoVAgQJ6U1MVXOaj8PK2l7WJ3RER9xtqwdhxkhw/edit?usp=sharing"",""สระแก้ว!I316"")"),26)</f>
        <v>26</v>
      </c>
      <c r="J421" s="392">
        <f ca="1">IFERROR(__xludf.DUMMYFUNCTION("IMPORTRANGE(""https://docs.google.com/spreadsheets/d/1SX6NBoVAgQJ6U1MVXOaj8PK2l7WJ3RER9xtqwdhxkhw/edit?usp=sharing"",""สระแก้ว!J316"")"),26)</f>
        <v>26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IFERROR(__xludf.DUMMYFUNCTION("IMPORTRANGE(""https://docs.google.com/spreadsheets/d/1SX6NBoVAgQJ6U1MVXOaj8PK2l7WJ3RER9xtqwdhxkhw/edit?usp=sharing"",""สระแก้ว!I317"")"),78)</f>
        <v>78</v>
      </c>
      <c r="J422" s="393">
        <f ca="1">IFERROR(__xludf.DUMMYFUNCTION("IMPORTRANGE(""https://docs.google.com/spreadsheets/d/1SX6NBoVAgQJ6U1MVXOaj8PK2l7WJ3RER9xtqwdhxkhw/edit?usp=sharing"",""สระแก้ว!J317"")"),78)</f>
        <v>78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IFERROR(__xludf.DUMMYFUNCTION("IMPORTRANGE(""https://docs.google.com/spreadsheets/d/1SX6NBoVAgQJ6U1MVXOaj8PK2l7WJ3RER9xtqwdhxkhw/edit?usp=sharing"",""สระแก้ว!I318"")"),26)</f>
        <v>26</v>
      </c>
      <c r="J423" s="394">
        <f ca="1">IFERROR(__xludf.DUMMYFUNCTION("IMPORTRANGE(""https://docs.google.com/spreadsheets/d/1SX6NBoVAgQJ6U1MVXOaj8PK2l7WJ3RER9xtqwdhxkhw/edit?usp=sharing"",""สระแก้ว!J318"")"),26)</f>
        <v>26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IFERROR(__xludf.DUMMYFUNCTION("IMPORTRANGE(""https://docs.google.com/spreadsheets/d/1SX6NBoVAgQJ6U1MVXOaj8PK2l7WJ3RER9xtqwdhxkhw/edit?usp=sharing"",""สระแก้ว!I319"")"),26)</f>
        <v>26</v>
      </c>
      <c r="J424" s="394">
        <f ca="1">IFERROR(__xludf.DUMMYFUNCTION("IMPORTRANGE(""https://docs.google.com/spreadsheets/d/1SX6NBoVAgQJ6U1MVXOaj8PK2l7WJ3RER9xtqwdhxkhw/edit?usp=sharing"",""สระแก้ว!J319"")"),26)</f>
        <v>26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IFERROR(__xludf.DUMMYFUNCTION("IMPORTRANGE(""https://docs.google.com/spreadsheets/d/1SX6NBoVAgQJ6U1MVXOaj8PK2l7WJ3RER9xtqwdhxkhw/edit?usp=sharing"",""สระแก้ว!I320"")"),26)</f>
        <v>26</v>
      </c>
      <c r="J425" s="394">
        <f ca="1">IFERROR(__xludf.DUMMYFUNCTION("IMPORTRANGE(""https://docs.google.com/spreadsheets/d/1SX6NBoVAgQJ6U1MVXOaj8PK2l7WJ3RER9xtqwdhxkhw/edit?usp=sharing"",""สระแก้ว!J320"")"),26)</f>
        <v>26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IFERROR(__xludf.DUMMYFUNCTION("IMPORTRANGE(""https://docs.google.com/spreadsheets/d/1SX6NBoVAgQJ6U1MVXOaj8PK2l7WJ3RER9xtqwdhxkhw/edit?usp=sharing"",""สระแก้ว!I321"")"),24)</f>
        <v>24</v>
      </c>
      <c r="J426" s="392">
        <f ca="1">IFERROR(__xludf.DUMMYFUNCTION("IMPORTRANGE(""https://docs.google.com/spreadsheets/d/1SX6NBoVAgQJ6U1MVXOaj8PK2l7WJ3RER9xtqwdhxkhw/edit?usp=sharing"",""สระแก้ว!J321"")"),24)</f>
        <v>24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IFERROR(__xludf.DUMMYFUNCTION("IMPORTRANGE(""https://docs.google.com/spreadsheets/d/1SX6NBoVAgQJ6U1MVXOaj8PK2l7WJ3RER9xtqwdhxkhw/edit?usp=sharing"",""สระแก้ว!I322"")"),72)</f>
        <v>72</v>
      </c>
      <c r="J427" s="393">
        <f ca="1">IFERROR(__xludf.DUMMYFUNCTION("IMPORTRANGE(""https://docs.google.com/spreadsheets/d/1SX6NBoVAgQJ6U1MVXOaj8PK2l7WJ3RER9xtqwdhxkhw/edit?usp=sharing"",""สระแก้ว!J322"")"),72)</f>
        <v>72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IFERROR(__xludf.DUMMYFUNCTION("IMPORTRANGE(""https://docs.google.com/spreadsheets/d/1SX6NBoVAgQJ6U1MVXOaj8PK2l7WJ3RER9xtqwdhxkhw/edit?usp=sharing"",""สระแก้ว!I323"")"),24)</f>
        <v>24</v>
      </c>
      <c r="J428" s="394">
        <f ca="1">IFERROR(__xludf.DUMMYFUNCTION("IMPORTRANGE(""https://docs.google.com/spreadsheets/d/1SX6NBoVAgQJ6U1MVXOaj8PK2l7WJ3RER9xtqwdhxkhw/edit?usp=sharing"",""สระแก้ว!J323"")"),24)</f>
        <v>24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IFERROR(__xludf.DUMMYFUNCTION("IMPORTRANGE(""https://docs.google.com/spreadsheets/d/1SX6NBoVAgQJ6U1MVXOaj8PK2l7WJ3RER9xtqwdhxkhw/edit?usp=sharing"",""สระแก้ว!I324"")"),24)</f>
        <v>24</v>
      </c>
      <c r="J429" s="394">
        <f ca="1">IFERROR(__xludf.DUMMYFUNCTION("IMPORTRANGE(""https://docs.google.com/spreadsheets/d/1SX6NBoVAgQJ6U1MVXOaj8PK2l7WJ3RER9xtqwdhxkhw/edit?usp=sharing"",""สระแก้ว!J324"")"),24)</f>
        <v>24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IFERROR(__xludf.DUMMYFUNCTION("IMPORTRANGE(""https://docs.google.com/spreadsheets/d/1SX6NBoVAgQJ6U1MVXOaj8PK2l7WJ3RER9xtqwdhxkhw/edit?usp=sharing"",""สระแก้ว!I325"")"),41)</f>
        <v>41</v>
      </c>
      <c r="J430" s="392">
        <f ca="1">IFERROR(__xludf.DUMMYFUNCTION("IMPORTRANGE(""https://docs.google.com/spreadsheets/d/1SX6NBoVAgQJ6U1MVXOaj8PK2l7WJ3RER9xtqwdhxkhw/edit?usp=sharing"",""สระแก้ว!J325"")"),0)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IFERROR(__xludf.DUMMYFUNCTION("IMPORTRANGE(""https://docs.google.com/spreadsheets/d/1SX6NBoVAgQJ6U1MVXOaj8PK2l7WJ3RER9xtqwdhxkhw/edit?usp=sharing"",""สระแก้ว!I326"")"),15)</f>
        <v>15</v>
      </c>
      <c r="J431" s="394">
        <f ca="1">IFERROR(__xludf.DUMMYFUNCTION("IMPORTRANGE(""https://docs.google.com/spreadsheets/d/1SX6NBoVAgQJ6U1MVXOaj8PK2l7WJ3RER9xtqwdhxkhw/edit?usp=sharing"",""สระแก้ว!J326"")"),0)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IFERROR(__xludf.DUMMYFUNCTION("IMPORTRANGE(""https://docs.google.com/spreadsheets/d/1SX6NBoVAgQJ6U1MVXOaj8PK2l7WJ3RER9xtqwdhxkhw/edit?usp=sharing"",""สระแก้ว!I327"")"),26)</f>
        <v>26</v>
      </c>
      <c r="J432" s="394">
        <f ca="1">IFERROR(__xludf.DUMMYFUNCTION("IMPORTRANGE(""https://docs.google.com/spreadsheets/d/1SX6NBoVAgQJ6U1MVXOaj8PK2l7WJ3RER9xtqwdhxkhw/edit?usp=sharing"",""สระแก้ว!J327"")"),0)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IFERROR(__xludf.DUMMYFUNCTION("IMPORTRANGE(""https://docs.google.com/spreadsheets/d/1SX6NBoVAgQJ6U1MVXOaj8PK2l7WJ3RER9xtqwdhxkhw/edit?usp=sharing"",""สระแก้ว!J328"")"),0)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IFERROR(__xludf.DUMMYFUNCTION("IMPORTRANGE(""https://docs.google.com/spreadsheets/d/1SX6NBoVAgQJ6U1MVXOaj8PK2l7WJ3RER9xtqwdhxkhw/edit?usp=sharing"",""สระแก้ว!J329"")"),0)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IFERROR(__xludf.DUMMYFUNCTION("IMPORTRANGE(""https://docs.google.com/spreadsheets/d/1SX6NBoVAgQJ6U1MVXOaj8PK2l7WJ3RER9xtqwdhxkhw/edit?usp=sharing"",""สระแก้ว!I330"")"),15)</f>
        <v>15</v>
      </c>
      <c r="J435" s="410">
        <f ca="1">IFERROR(__xludf.DUMMYFUNCTION("IMPORTRANGE(""https://docs.google.com/spreadsheets/d/1SX6NBoVAgQJ6U1MVXOaj8PK2l7WJ3RER9xtqwdhxkhw/edit?usp=sharing"",""สระแก้ว!J330"")"),15)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IFERROR(__xludf.DUMMYFUNCTION("IMPORTRANGE(""https://docs.google.com/spreadsheets/d/1SX6NBoVAgQJ6U1MVXOaj8PK2l7WJ3RER9xtqwdhxkhw/edit?usp=sharing"",""สระแก้ว!L330"")"),88000)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IFERROR(__xludf.DUMMYFUNCTION("IMPORTRANGE(""https://docs.google.com/spreadsheets/d/1SX6NBoVAgQJ6U1MVXOaj8PK2l7WJ3RER9xtqwdhxkhw/edit?usp=sharing"",""สระแก้ว!M330"")"),53615)</f>
        <v>53615</v>
      </c>
      <c r="O435" s="412">
        <f t="shared" ref="O435:O439" ca="1" si="114">+IF(L435&gt;0,N435*100/L435,0)</f>
        <v>60.926136363636367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IFERROR(__xludf.DUMMYFUNCTION("IMPORTRANGE(""https://docs.google.com/spreadsheets/d/1SX6NBoVAgQJ6U1MVXOaj8PK2l7WJ3RER9xtqwdhxkhw/edit?usp=sharing"",""สระแก้ว!L331"")"),0)</f>
        <v>0</v>
      </c>
      <c r="M436" s="164"/>
      <c r="N436" s="169">
        <f ca="1">IFERROR(__xludf.DUMMYFUNCTION("IMPORTRANGE(""https://docs.google.com/spreadsheets/d/1SX6NBoVAgQJ6U1MVXOaj8PK2l7WJ3RER9xtqwdhxkhw/edit?usp=sharing"",""สระแก้ว!M331"")"),0)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IFERROR(__xludf.DUMMYFUNCTION("IMPORTRANGE(""https://docs.google.com/spreadsheets/d/1SX6NBoVAgQJ6U1MVXOaj8PK2l7WJ3RER9xtqwdhxkhw/edit?usp=sharing"",""สระแก้ว!L332"")"),88000)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IFERROR(__xludf.DUMMYFUNCTION("IMPORTRANGE(""https://docs.google.com/spreadsheets/d/1SX6NBoVAgQJ6U1MVXOaj8PK2l7WJ3RER9xtqwdhxkhw/edit?usp=sharing"",""สระแก้ว!M332"")"),53615)</f>
        <v>53615</v>
      </c>
      <c r="O437" s="169">
        <f t="shared" ca="1" si="114"/>
        <v>60.926136363636367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IFERROR(__xludf.DUMMYFUNCTION("IMPORTRANGE(""https://docs.google.com/spreadsheets/d/1SX6NBoVAgQJ6U1MVXOaj8PK2l7WJ3RER9xtqwdhxkhw/edit?usp=sharing"",""สระแก้ว!L333"")"),0)</f>
        <v>0</v>
      </c>
      <c r="M438" s="169"/>
      <c r="N438" s="169">
        <f ca="1">IFERROR(__xludf.DUMMYFUNCTION("IMPORTRANGE(""https://docs.google.com/spreadsheets/d/1SX6NBoVAgQJ6U1MVXOaj8PK2l7WJ3RER9xtqwdhxkhw/edit?usp=sharing"",""สระแก้ว!M333"")"),0)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IFERROR(__xludf.DUMMYFUNCTION("IMPORTRANGE(""https://docs.google.com/spreadsheets/d/1SX6NBoVAgQJ6U1MVXOaj8PK2l7WJ3RER9xtqwdhxkhw/edit?usp=sharing"",""สระแก้ว!L334"")"),88000)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IFERROR(__xludf.DUMMYFUNCTION("IMPORTRANGE(""https://docs.google.com/spreadsheets/d/1SX6NBoVAgQJ6U1MVXOaj8PK2l7WJ3RER9xtqwdhxkhw/edit?usp=sharing"",""สระแก้ว!M334"")"),53615)</f>
        <v>53615</v>
      </c>
      <c r="O439" s="169">
        <f t="shared" ca="1" si="114"/>
        <v>60.926136363636367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IFERROR(__xludf.DUMMYFUNCTION("IMPORTRANGE(""https://docs.google.com/spreadsheets/d/1SX6NBoVAgQJ6U1MVXOaj8PK2l7WJ3RER9xtqwdhxkhw/edit?usp=sharing"",""สระแก้ว!M335"")"),32200)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IFERROR(__xludf.DUMMYFUNCTION("IMPORTRANGE(""https://docs.google.com/spreadsheets/d/1SX6NBoVAgQJ6U1MVXOaj8PK2l7WJ3RER9xtqwdhxkhw/edit?usp=sharing"",""สระแก้ว!M336"")"),0)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IFERROR(__xludf.DUMMYFUNCTION("IMPORTRANGE(""https://docs.google.com/spreadsheets/d/1SX6NBoVAgQJ6U1MVXOaj8PK2l7WJ3RER9xtqwdhxkhw/edit?usp=sharing"",""สระแก้ว!M337"")"),0)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IFERROR(__xludf.DUMMYFUNCTION("IMPORTRANGE(""https://docs.google.com/spreadsheets/d/1SX6NBoVAgQJ6U1MVXOaj8PK2l7WJ3RER9xtqwdhxkhw/edit?usp=sharing"",""สระแก้ว!M338"")"),21415)</f>
        <v>21415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IFERROR(__xludf.DUMMYFUNCTION("IMPORTRANGE(""https://docs.google.com/spreadsheets/d/1SX6NBoVAgQJ6U1MVXOaj8PK2l7WJ3RER9xtqwdhxkhw/edit?usp=sharing"",""สระแก้ว!J340"")"),0)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IFERROR(__xludf.DUMMYFUNCTION("IMPORTRANGE(""https://docs.google.com/spreadsheets/d/1SX6NBoVAgQJ6U1MVXOaj8PK2l7WJ3RER9xtqwdhxkhw/edit?usp=sharing"",""สระแก้ว!J341"")"),1)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IFERROR(__xludf.DUMMYFUNCTION("IMPORTRANGE(""https://docs.google.com/spreadsheets/d/1SX6NBoVAgQJ6U1MVXOaj8PK2l7WJ3RER9xtqwdhxkhw/edit?usp=sharing"",""สระแก้ว!J342"")"),1)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IFERROR(__xludf.DUMMYFUNCTION("IMPORTRANGE(""https://docs.google.com/spreadsheets/d/1SX6NBoVAgQJ6U1MVXOaj8PK2l7WJ3RER9xtqwdhxkhw/edit?usp=sharing"",""สระแก้ว!J343"")"),1)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IFERROR(__xludf.DUMMYFUNCTION("IMPORTRANGE(""https://docs.google.com/spreadsheets/d/1SX6NBoVAgQJ6U1MVXOaj8PK2l7WJ3RER9xtqwdhxkhw/edit?usp=sharing"",""สระแก้ว!I344"")"),15)</f>
        <v>15</v>
      </c>
      <c r="J449" s="201">
        <f ca="1">IFERROR(__xludf.DUMMYFUNCTION("IMPORTRANGE(""https://docs.google.com/spreadsheets/d/1SX6NBoVAgQJ6U1MVXOaj8PK2l7WJ3RER9xtqwdhxkhw/edit?usp=sharing"",""สระแก้ว!J344"")"),15)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IFERROR(__xludf.DUMMYFUNCTION("IMPORTRANGE(""https://docs.google.com/spreadsheets/d/1SX6NBoVAgQJ6U1MVXOaj8PK2l7WJ3RER9xtqwdhxkhw/edit?usp=sharing"",""สระแก้ว!I345"")"),15)</f>
        <v>15</v>
      </c>
      <c r="J450" s="189">
        <f ca="1">IFERROR(__xludf.DUMMYFUNCTION("IMPORTRANGE(""https://docs.google.com/spreadsheets/d/1SX6NBoVAgQJ6U1MVXOaj8PK2l7WJ3RER9xtqwdhxkhw/edit?usp=sharing"",""สระแก้ว!J345"")"),15)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IFERROR(__xludf.DUMMYFUNCTION("IMPORTRANGE(""https://docs.google.com/spreadsheets/d/1SX6NBoVAgQJ6U1MVXOaj8PK2l7WJ3RER9xtqwdhxkhw/edit?usp=sharing"",""สระแก้ว!I346"")"),0)</f>
        <v>0</v>
      </c>
      <c r="J451" s="188">
        <f ca="1">IFERROR(__xludf.DUMMYFUNCTION("IMPORTRANGE(""https://docs.google.com/spreadsheets/d/1SX6NBoVAgQJ6U1MVXOaj8PK2l7WJ3RER9xtqwdhxkhw/edit?usp=sharing"",""สระแก้ว!J346"")"),0)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IFERROR(__xludf.DUMMYFUNCTION("IMPORTRANGE(""https://docs.google.com/spreadsheets/d/1SX6NBoVAgQJ6U1MVXOaj8PK2l7WJ3RER9xtqwdhxkhw/edit?usp=sharing"",""สระแก้ว!I347"")"),0)</f>
        <v>0</v>
      </c>
      <c r="J452" s="188">
        <f ca="1">IFERROR(__xludf.DUMMYFUNCTION("IMPORTRANGE(""https://docs.google.com/spreadsheets/d/1SX6NBoVAgQJ6U1MVXOaj8PK2l7WJ3RER9xtqwdhxkhw/edit?usp=sharing"",""สระแก้ว!J347"")"),0)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IFERROR(__xludf.DUMMYFUNCTION("IMPORTRANGE(""https://docs.google.com/spreadsheets/d/1SX6NBoVAgQJ6U1MVXOaj8PK2l7WJ3RER9xtqwdhxkhw/edit?usp=sharing"",""สระแก้ว!J348"")"),0)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IFERROR(__xludf.DUMMYFUNCTION("IMPORTRANGE(""https://docs.google.com/spreadsheets/d/1SX6NBoVAgQJ6U1MVXOaj8PK2l7WJ3RER9xtqwdhxkhw/edit?usp=sharing"",""สระแก้ว!J349"")"),0)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IFERROR(__xludf.DUMMYFUNCTION("IMPORTRANGE(""https://docs.google.com/spreadsheets/d/1SX6NBoVAgQJ6U1MVXOaj8PK2l7WJ3RER9xtqwdhxkhw/edit?usp=sharing"",""สระแก้ว!I350"")"),63631)</f>
        <v>63631</v>
      </c>
      <c r="J455" s="371">
        <f ca="1">IFERROR(__xludf.DUMMYFUNCTION("IMPORTRANGE(""https://docs.google.com/spreadsheets/d/1SX6NBoVAgQJ6U1MVXOaj8PK2l7WJ3RER9xtqwdhxkhw/edit?usp=sharing"",""สระแก้ว!J350"")"),63631)</f>
        <v>63631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IFERROR(__xludf.DUMMYFUNCTION("IMPORTRANGE(""https://docs.google.com/spreadsheets/d/1SX6NBoVAgQJ6U1MVXOaj8PK2l7WJ3RER9xtqwdhxkhw/edit?usp=sharing"",""สระแก้ว!L350"")"),956735)</f>
        <v>956735</v>
      </c>
      <c r="M455" s="373"/>
      <c r="N455" s="373">
        <f ca="1">IFERROR(__xludf.DUMMYFUNCTION("IMPORTRANGE(""https://docs.google.com/spreadsheets/d/1SX6NBoVAgQJ6U1MVXOaj8PK2l7WJ3RER9xtqwdhxkhw/edit?usp=sharing"",""สระแก้ว!M350"")"),428472.41)</f>
        <v>428472.41</v>
      </c>
      <c r="O455" s="373">
        <f t="shared" ref="O455:O459" ca="1" si="116">+IF(L455&gt;0,N455*100/L455,0)</f>
        <v>44.784857876005375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IFERROR(__xludf.DUMMYFUNCTION("IMPORTRANGE(""https://docs.google.com/spreadsheets/d/1SX6NBoVAgQJ6U1MVXOaj8PK2l7WJ3RER9xtqwdhxkhw/edit?usp=sharing"",""สระแก้ว!L351"")"),0)</f>
        <v>0</v>
      </c>
      <c r="M456" s="164"/>
      <c r="N456" s="169">
        <f ca="1">IFERROR(__xludf.DUMMYFUNCTION("IMPORTRANGE(""https://docs.google.com/spreadsheets/d/1SX6NBoVAgQJ6U1MVXOaj8PK2l7WJ3RER9xtqwdhxkhw/edit?usp=sharing"",""สระแก้ว!M351"")"),0)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IFERROR(__xludf.DUMMYFUNCTION("IMPORTRANGE(""https://docs.google.com/spreadsheets/d/1SX6NBoVAgQJ6U1MVXOaj8PK2l7WJ3RER9xtqwdhxkhw/edit?usp=sharing"",""สระแก้ว!L352"")"),956735)</f>
        <v>956735</v>
      </c>
      <c r="M457" s="165"/>
      <c r="N457" s="169">
        <f ca="1">IFERROR(__xludf.DUMMYFUNCTION("IMPORTRANGE(""https://docs.google.com/spreadsheets/d/1SX6NBoVAgQJ6U1MVXOaj8PK2l7WJ3RER9xtqwdhxkhw/edit?usp=sharing"",""สระแก้ว!M352"")"),428472.41)</f>
        <v>428472.41</v>
      </c>
      <c r="O457" s="169">
        <f t="shared" ca="1" si="116"/>
        <v>44.784857876005375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IFERROR(__xludf.DUMMYFUNCTION("IMPORTRANGE(""https://docs.google.com/spreadsheets/d/1SX6NBoVAgQJ6U1MVXOaj8PK2l7WJ3RER9xtqwdhxkhw/edit?usp=sharing"",""สระแก้ว!L353"")"),0)</f>
        <v>0</v>
      </c>
      <c r="M458" s="169"/>
      <c r="N458" s="169">
        <f ca="1">IFERROR(__xludf.DUMMYFUNCTION("IMPORTRANGE(""https://docs.google.com/spreadsheets/d/1SX6NBoVAgQJ6U1MVXOaj8PK2l7WJ3RER9xtqwdhxkhw/edit?usp=sharing"",""สระแก้ว!M353"")"),0)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IFERROR(__xludf.DUMMYFUNCTION("IMPORTRANGE(""https://docs.google.com/spreadsheets/d/1SX6NBoVAgQJ6U1MVXOaj8PK2l7WJ3RER9xtqwdhxkhw/edit?usp=sharing"",""สระแก้ว!L354"")"),956735)</f>
        <v>956735</v>
      </c>
      <c r="M459" s="169"/>
      <c r="N459" s="169">
        <f ca="1">IFERROR(__xludf.DUMMYFUNCTION("IMPORTRANGE(""https://docs.google.com/spreadsheets/d/1SX6NBoVAgQJ6U1MVXOaj8PK2l7WJ3RER9xtqwdhxkhw/edit?usp=sharing"",""สระแก้ว!M354"")"),428472.41)</f>
        <v>428472.41</v>
      </c>
      <c r="O459" s="169">
        <f t="shared" ca="1" si="116"/>
        <v>44.784857876005375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IFERROR(__xludf.DUMMYFUNCTION("IMPORTRANGE(""https://docs.google.com/spreadsheets/d/1SX6NBoVAgQJ6U1MVXOaj8PK2l7WJ3RER9xtqwdhxkhw/edit?usp=sharing"",""สระแก้ว!M355"")"),0)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IFERROR(__xludf.DUMMYFUNCTION("IMPORTRANGE(""https://docs.google.com/spreadsheets/d/1SX6NBoVAgQJ6U1MVXOaj8PK2l7WJ3RER9xtqwdhxkhw/edit?usp=sharing"",""สระแก้ว!M356"")"),0)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IFERROR(__xludf.DUMMYFUNCTION("IMPORTRANGE(""https://docs.google.com/spreadsheets/d/1SX6NBoVAgQJ6U1MVXOaj8PK2l7WJ3RER9xtqwdhxkhw/edit?usp=sharing"",""สระแก้ว!M357"")"),75225.58)</f>
        <v>75225.58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IFERROR(__xludf.DUMMYFUNCTION("IMPORTRANGE(""https://docs.google.com/spreadsheets/d/1SX6NBoVAgQJ6U1MVXOaj8PK2l7WJ3RER9xtqwdhxkhw/edit?usp=sharing"",""สระแก้ว!M358"")"),353246.83)</f>
        <v>353246.83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IFERROR(__xludf.DUMMYFUNCTION("IMPORTRANGE(""https://docs.google.com/spreadsheets/d/1SX6NBoVAgQJ6U1MVXOaj8PK2l7WJ3RER9xtqwdhxkhw/edit?usp=sharing"",""สระแก้ว!I359"")"),63631)</f>
        <v>63631</v>
      </c>
      <c r="J464" s="268">
        <f ca="1">IFERROR(__xludf.DUMMYFUNCTION("IMPORTRANGE(""https://docs.google.com/spreadsheets/d/1SX6NBoVAgQJ6U1MVXOaj8PK2l7WJ3RER9xtqwdhxkhw/edit?usp=sharing"",""สระแก้ว!J359"")"),63631)</f>
        <v>63631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IFERROR(__xludf.DUMMYFUNCTION("IMPORTRANGE(""https://docs.google.com/spreadsheets/d/1SX6NBoVAgQJ6U1MVXOaj8PK2l7WJ3RER9xtqwdhxkhw/edit?usp=sharing"",""สระแก้ว!I360"")"),63631)</f>
        <v>63631</v>
      </c>
      <c r="J465" s="420">
        <f ca="1">IFERROR(__xludf.DUMMYFUNCTION("IMPORTRANGE(""https://docs.google.com/spreadsheets/d/1SX6NBoVAgQJ6U1MVXOaj8PK2l7WJ3RER9xtqwdhxkhw/edit?usp=sharing"",""สระแก้ว!J360"")"),63631)</f>
        <v>63631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IFERROR(__xludf.DUMMYFUNCTION("IMPORTRANGE(""https://docs.google.com/spreadsheets/d/1SX6NBoVAgQJ6U1MVXOaj8PK2l7WJ3RER9xtqwdhxkhw/edit?usp=sharing"",""สระแก้ว!I361"")"),7113)</f>
        <v>7113</v>
      </c>
      <c r="J466" s="420">
        <f ca="1">IFERROR(__xludf.DUMMYFUNCTION("IMPORTRANGE(""https://docs.google.com/spreadsheets/d/1SX6NBoVAgQJ6U1MVXOaj8PK2l7WJ3RER9xtqwdhxkhw/edit?usp=sharing"",""สระแก้ว!J361"")"),7113)</f>
        <v>7113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IFERROR(__xludf.DUMMYFUNCTION("IMPORTRANGE(""https://docs.google.com/spreadsheets/d/1SX6NBoVAgQJ6U1MVXOaj8PK2l7WJ3RER9xtqwdhxkhw/edit?usp=sharing"",""สระแก้ว!I362"")"),0)</f>
        <v>0</v>
      </c>
      <c r="J467" s="189">
        <f ca="1">IFERROR(__xludf.DUMMYFUNCTION("IMPORTRANGE(""https://docs.google.com/spreadsheets/d/1SX6NBoVAgQJ6U1MVXOaj8PK2l7WJ3RER9xtqwdhxkhw/edit?usp=sharing"",""สระแก้ว!J362"")"),47572)</f>
        <v>47572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IFERROR(__xludf.DUMMYFUNCTION("IMPORTRANGE(""https://docs.google.com/spreadsheets/d/1SX6NBoVAgQJ6U1MVXOaj8PK2l7WJ3RER9xtqwdhxkhw/edit?usp=sharing"",""สระแก้ว!I363"")"),0)</f>
        <v>0</v>
      </c>
      <c r="J468" s="189">
        <f ca="1">IFERROR(__xludf.DUMMYFUNCTION("IMPORTRANGE(""https://docs.google.com/spreadsheets/d/1SX6NBoVAgQJ6U1MVXOaj8PK2l7WJ3RER9xtqwdhxkhw/edit?usp=sharing"",""สระแก้ว!J363"")"),5852)</f>
        <v>5852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IFERROR(__xludf.DUMMYFUNCTION("IMPORTRANGE(""https://docs.google.com/spreadsheets/d/1SX6NBoVAgQJ6U1MVXOaj8PK2l7WJ3RER9xtqwdhxkhw/edit?usp=sharing"",""สระแก้ว!I364"")"),0)</f>
        <v>0</v>
      </c>
      <c r="J469" s="189">
        <f ca="1">IFERROR(__xludf.DUMMYFUNCTION("IMPORTRANGE(""https://docs.google.com/spreadsheets/d/1SX6NBoVAgQJ6U1MVXOaj8PK2l7WJ3RER9xtqwdhxkhw/edit?usp=sharing"",""สระแก้ว!J364"")"),13997)</f>
        <v>13997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IFERROR(__xludf.DUMMYFUNCTION("IMPORTRANGE(""https://docs.google.com/spreadsheets/d/1SX6NBoVAgQJ6U1MVXOaj8PK2l7WJ3RER9xtqwdhxkhw/edit?usp=sharing"",""สระแก้ว!I365"")"),0)</f>
        <v>0</v>
      </c>
      <c r="J470" s="189">
        <f ca="1">IFERROR(__xludf.DUMMYFUNCTION("IMPORTRANGE(""https://docs.google.com/spreadsheets/d/1SX6NBoVAgQJ6U1MVXOaj8PK2l7WJ3RER9xtqwdhxkhw/edit?usp=sharing"",""สระแก้ว!J365"")"),1110)</f>
        <v>1110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IFERROR(__xludf.DUMMYFUNCTION("IMPORTRANGE(""https://docs.google.com/spreadsheets/d/1SX6NBoVAgQJ6U1MVXOaj8PK2l7WJ3RER9xtqwdhxkhw/edit?usp=sharing"",""สระแก้ว!I366"")"),0)</f>
        <v>0</v>
      </c>
      <c r="J471" s="189">
        <f ca="1">IFERROR(__xludf.DUMMYFUNCTION("IMPORTRANGE(""https://docs.google.com/spreadsheets/d/1SX6NBoVAgQJ6U1MVXOaj8PK2l7WJ3RER9xtqwdhxkhw/edit?usp=sharing"",""สระแก้ว!J366"")"),2062)</f>
        <v>2062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IFERROR(__xludf.DUMMYFUNCTION("IMPORTRANGE(""https://docs.google.com/spreadsheets/d/1SX6NBoVAgQJ6U1MVXOaj8PK2l7WJ3RER9xtqwdhxkhw/edit?usp=sharing"",""สระแก้ว!I367"")"),0)</f>
        <v>0</v>
      </c>
      <c r="J472" s="189">
        <f ca="1">IFERROR(__xludf.DUMMYFUNCTION("IMPORTRANGE(""https://docs.google.com/spreadsheets/d/1SX6NBoVAgQJ6U1MVXOaj8PK2l7WJ3RER9xtqwdhxkhw/edit?usp=sharing"",""สระแก้ว!J367"")"),151)</f>
        <v>151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IFERROR(__xludf.DUMMYFUNCTION("IMPORTRANGE(""https://docs.google.com/spreadsheets/d/1SX6NBoVAgQJ6U1MVXOaj8PK2l7WJ3RER9xtqwdhxkhw/edit?usp=sharing"",""สระแก้ว!I368"")"),63631)</f>
        <v>63631</v>
      </c>
      <c r="J473" s="420">
        <f ca="1">IFERROR(__xludf.DUMMYFUNCTION("IMPORTRANGE(""https://docs.google.com/spreadsheets/d/1SX6NBoVAgQJ6U1MVXOaj8PK2l7WJ3RER9xtqwdhxkhw/edit?usp=sharing"",""สระแก้ว!J368"")"),63631)</f>
        <v>63631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IFERROR(__xludf.DUMMYFUNCTION("IMPORTRANGE(""https://docs.google.com/spreadsheets/d/1SX6NBoVAgQJ6U1MVXOaj8PK2l7WJ3RER9xtqwdhxkhw/edit?usp=sharing"",""สระแก้ว!I369"")"),7113)</f>
        <v>7113</v>
      </c>
      <c r="J474" s="420">
        <f ca="1">IFERROR(__xludf.DUMMYFUNCTION("IMPORTRANGE(""https://docs.google.com/spreadsheets/d/1SX6NBoVAgQJ6U1MVXOaj8PK2l7WJ3RER9xtqwdhxkhw/edit?usp=sharing"",""สระแก้ว!J369"")"),7113)</f>
        <v>7113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IFERROR(__xludf.DUMMYFUNCTION("IMPORTRANGE(""https://docs.google.com/spreadsheets/d/1SX6NBoVAgQJ6U1MVXOaj8PK2l7WJ3RER9xtqwdhxkhw/edit?usp=sharing"",""สระแก้ว!I370"")"),0)</f>
        <v>0</v>
      </c>
      <c r="J475" s="189">
        <f ca="1">IFERROR(__xludf.DUMMYFUNCTION("IMPORTRANGE(""https://docs.google.com/spreadsheets/d/1SX6NBoVAgQJ6U1MVXOaj8PK2l7WJ3RER9xtqwdhxkhw/edit?usp=sharing"",""สระแก้ว!J370"")"),51098)</f>
        <v>51098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IFERROR(__xludf.DUMMYFUNCTION("IMPORTRANGE(""https://docs.google.com/spreadsheets/d/1SX6NBoVAgQJ6U1MVXOaj8PK2l7WJ3RER9xtqwdhxkhw/edit?usp=sharing"",""สระแก้ว!I371"")"),0)</f>
        <v>0</v>
      </c>
      <c r="J476" s="189">
        <f ca="1">IFERROR(__xludf.DUMMYFUNCTION("IMPORTRANGE(""https://docs.google.com/spreadsheets/d/1SX6NBoVAgQJ6U1MVXOaj8PK2l7WJ3RER9xtqwdhxkhw/edit?usp=sharing"",""สระแก้ว!J371"")"),6360)</f>
        <v>6360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IFERROR(__xludf.DUMMYFUNCTION("IMPORTRANGE(""https://docs.google.com/spreadsheets/d/1SX6NBoVAgQJ6U1MVXOaj8PK2l7WJ3RER9xtqwdhxkhw/edit?usp=sharing"",""สระแก้ว!I372"")"),0)</f>
        <v>0</v>
      </c>
      <c r="J477" s="189">
        <f ca="1">IFERROR(__xludf.DUMMYFUNCTION("IMPORTRANGE(""https://docs.google.com/spreadsheets/d/1SX6NBoVAgQJ6U1MVXOaj8PK2l7WJ3RER9xtqwdhxkhw/edit?usp=sharing"",""สระแก้ว!J372"")"),10623)</f>
        <v>10623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IFERROR(__xludf.DUMMYFUNCTION("IMPORTRANGE(""https://docs.google.com/spreadsheets/d/1SX6NBoVAgQJ6U1MVXOaj8PK2l7WJ3RER9xtqwdhxkhw/edit?usp=sharing"",""สระแก้ว!I373"")"),0)</f>
        <v>0</v>
      </c>
      <c r="J478" s="189">
        <f ca="1">IFERROR(__xludf.DUMMYFUNCTION("IMPORTRANGE(""https://docs.google.com/spreadsheets/d/1SX6NBoVAgQJ6U1MVXOaj8PK2l7WJ3RER9xtqwdhxkhw/edit?usp=sharing"",""สระแก้ว!J373"")"),589)</f>
        <v>589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IFERROR(__xludf.DUMMYFUNCTION("IMPORTRANGE(""https://docs.google.com/spreadsheets/d/1SX6NBoVAgQJ6U1MVXOaj8PK2l7WJ3RER9xtqwdhxkhw/edit?usp=sharing"",""สระแก้ว!I374"")"),0)</f>
        <v>0</v>
      </c>
      <c r="J479" s="189">
        <f ca="1">IFERROR(__xludf.DUMMYFUNCTION("IMPORTRANGE(""https://docs.google.com/spreadsheets/d/1SX6NBoVAgQJ6U1MVXOaj8PK2l7WJ3RER9xtqwdhxkhw/edit?usp=sharing"",""สระแก้ว!J374"")"),1910)</f>
        <v>1910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IFERROR(__xludf.DUMMYFUNCTION("IMPORTRANGE(""https://docs.google.com/spreadsheets/d/1SX6NBoVAgQJ6U1MVXOaj8PK2l7WJ3RER9xtqwdhxkhw/edit?usp=sharing"",""สระแก้ว!I375"")"),0)</f>
        <v>0</v>
      </c>
      <c r="J480" s="189">
        <f ca="1">IFERROR(__xludf.DUMMYFUNCTION("IMPORTRANGE(""https://docs.google.com/spreadsheets/d/1SX6NBoVAgQJ6U1MVXOaj8PK2l7WJ3RER9xtqwdhxkhw/edit?usp=sharing"",""สระแก้ว!J375"")"),164)</f>
        <v>164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IFERROR(__xludf.DUMMYFUNCTION("IMPORTRANGE(""https://docs.google.com/spreadsheets/d/1SX6NBoVAgQJ6U1MVXOaj8PK2l7WJ3RER9xtqwdhxkhw/edit?usp=sharing"",""สระแก้ว!I376"")"),63631)</f>
        <v>63631</v>
      </c>
      <c r="J481" s="420">
        <f ca="1">IFERROR(__xludf.DUMMYFUNCTION("IMPORTRANGE(""https://docs.google.com/spreadsheets/d/1SX6NBoVAgQJ6U1MVXOaj8PK2l7WJ3RER9xtqwdhxkhw/edit?usp=sharing"",""สระแก้ว!J376"")"),63631)</f>
        <v>63631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IFERROR(__xludf.DUMMYFUNCTION("IMPORTRANGE(""https://docs.google.com/spreadsheets/d/1SX6NBoVAgQJ6U1MVXOaj8PK2l7WJ3RER9xtqwdhxkhw/edit?usp=sharing"",""สระแก้ว!I377"")"),7113)</f>
        <v>7113</v>
      </c>
      <c r="J482" s="420">
        <f ca="1">IFERROR(__xludf.DUMMYFUNCTION("IMPORTRANGE(""https://docs.google.com/spreadsheets/d/1SX6NBoVAgQJ6U1MVXOaj8PK2l7WJ3RER9xtqwdhxkhw/edit?usp=sharing"",""สระแก้ว!J377"")"),7113)</f>
        <v>7113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IFERROR(__xludf.DUMMYFUNCTION("IMPORTRANGE(""https://docs.google.com/spreadsheets/d/1SX6NBoVAgQJ6U1MVXOaj8PK2l7WJ3RER9xtqwdhxkhw/edit?usp=sharing"",""สระแก้ว!I378"")"),0)</f>
        <v>0</v>
      </c>
      <c r="J483" s="189">
        <f ca="1">IFERROR(__xludf.DUMMYFUNCTION("IMPORTRANGE(""https://docs.google.com/spreadsheets/d/1SX6NBoVAgQJ6U1MVXOaj8PK2l7WJ3RER9xtqwdhxkhw/edit?usp=sharing"",""สระแก้ว!J378"")"),54789)</f>
        <v>54789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IFERROR(__xludf.DUMMYFUNCTION("IMPORTRANGE(""https://docs.google.com/spreadsheets/d/1SX6NBoVAgQJ6U1MVXOaj8PK2l7WJ3RER9xtqwdhxkhw/edit?usp=sharing"",""สระแก้ว!I379"")"),0)</f>
        <v>0</v>
      </c>
      <c r="J484" s="189">
        <f ca="1">IFERROR(__xludf.DUMMYFUNCTION("IMPORTRANGE(""https://docs.google.com/spreadsheets/d/1SX6NBoVAgQJ6U1MVXOaj8PK2l7WJ3RER9xtqwdhxkhw/edit?usp=sharing"",""สระแก้ว!J379"")"),6562)</f>
        <v>6562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IFERROR(__xludf.DUMMYFUNCTION("IMPORTRANGE(""https://docs.google.com/spreadsheets/d/1SX6NBoVAgQJ6U1MVXOaj8PK2l7WJ3RER9xtqwdhxkhw/edit?usp=sharing"",""สระแก้ว!I380"")"),0)</f>
        <v>0</v>
      </c>
      <c r="J485" s="189">
        <f ca="1">IFERROR(__xludf.DUMMYFUNCTION("IMPORTRANGE(""https://docs.google.com/spreadsheets/d/1SX6NBoVAgQJ6U1MVXOaj8PK2l7WJ3RER9xtqwdhxkhw/edit?usp=sharing"",""สระแก้ว!J380"")"),6475)</f>
        <v>6475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IFERROR(__xludf.DUMMYFUNCTION("IMPORTRANGE(""https://docs.google.com/spreadsheets/d/1SX6NBoVAgQJ6U1MVXOaj8PK2l7WJ3RER9xtqwdhxkhw/edit?usp=sharing"",""สระแก้ว!I381"")"),0)</f>
        <v>0</v>
      </c>
      <c r="J486" s="189">
        <f ca="1">IFERROR(__xludf.DUMMYFUNCTION("IMPORTRANGE(""https://docs.google.com/spreadsheets/d/1SX6NBoVAgQJ6U1MVXOaj8PK2l7WJ3RER9xtqwdhxkhw/edit?usp=sharing"",""สระแก้ว!J381"")"),376)</f>
        <v>376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IFERROR(__xludf.DUMMYFUNCTION("IMPORTRANGE(""https://docs.google.com/spreadsheets/d/1SX6NBoVAgQJ6U1MVXOaj8PK2l7WJ3RER9xtqwdhxkhw/edit?usp=sharing"",""สระแก้ว!I382"")"),0)</f>
        <v>0</v>
      </c>
      <c r="J487" s="420">
        <f ca="1">IFERROR(__xludf.DUMMYFUNCTION("IMPORTRANGE(""https://docs.google.com/spreadsheets/d/1SX6NBoVAgQJ6U1MVXOaj8PK2l7WJ3RER9xtqwdhxkhw/edit?usp=sharing"",""สระแก้ว!J382"")"),2367)</f>
        <v>2367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IFERROR(__xludf.DUMMYFUNCTION("IMPORTRANGE(""https://docs.google.com/spreadsheets/d/1SX6NBoVAgQJ6U1MVXOaj8PK2l7WJ3RER9xtqwdhxkhw/edit?usp=sharing"",""สระแก้ว!I383"")"),0)</f>
        <v>0</v>
      </c>
      <c r="J488" s="420">
        <f ca="1">IFERROR(__xludf.DUMMYFUNCTION("IMPORTRANGE(""https://docs.google.com/spreadsheets/d/1SX6NBoVAgQJ6U1MVXOaj8PK2l7WJ3RER9xtqwdhxkhw/edit?usp=sharing"",""สระแก้ว!J383"")"),175)</f>
        <v>175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IFERROR(__xludf.DUMMYFUNCTION("IMPORTRANGE(""https://docs.google.com/spreadsheets/d/1SX6NBoVAgQJ6U1MVXOaj8PK2l7WJ3RER9xtqwdhxkhw/edit?usp=sharing"",""สระแก้ว!I384"")"),0)</f>
        <v>0</v>
      </c>
      <c r="J489" s="189">
        <f ca="1">IFERROR(__xludf.DUMMYFUNCTION("IMPORTRANGE(""https://docs.google.com/spreadsheets/d/1SX6NBoVAgQJ6U1MVXOaj8PK2l7WJ3RER9xtqwdhxkhw/edit?usp=sharing"",""สระแก้ว!J384"")"),1910)</f>
        <v>1910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IFERROR(__xludf.DUMMYFUNCTION("IMPORTRANGE(""https://docs.google.com/spreadsheets/d/1SX6NBoVAgQJ6U1MVXOaj8PK2l7WJ3RER9xtqwdhxkhw/edit?usp=sharing"",""สระแก้ว!I385"")"),0)</f>
        <v>0</v>
      </c>
      <c r="J490" s="189">
        <f ca="1">IFERROR(__xludf.DUMMYFUNCTION("IMPORTRANGE(""https://docs.google.com/spreadsheets/d/1SX6NBoVAgQJ6U1MVXOaj8PK2l7WJ3RER9xtqwdhxkhw/edit?usp=sharing"",""สระแก้ว!J385"")"),164)</f>
        <v>164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IFERROR(__xludf.DUMMYFUNCTION("IMPORTRANGE(""https://docs.google.com/spreadsheets/d/1SX6NBoVAgQJ6U1MVXOaj8PK2l7WJ3RER9xtqwdhxkhw/edit?usp=sharing"",""สระแก้ว!I386"")"),0)</f>
        <v>0</v>
      </c>
      <c r="J491" s="189">
        <f ca="1">IFERROR(__xludf.DUMMYFUNCTION("IMPORTRANGE(""https://docs.google.com/spreadsheets/d/1SX6NBoVAgQJ6U1MVXOaj8PK2l7WJ3RER9xtqwdhxkhw/edit?usp=sharing"",""สระแก้ว!J386"")"),457)</f>
        <v>457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IFERROR(__xludf.DUMMYFUNCTION("IMPORTRANGE(""https://docs.google.com/spreadsheets/d/1SX6NBoVAgQJ6U1MVXOaj8PK2l7WJ3RER9xtqwdhxkhw/edit?usp=sharing"",""สระแก้ว!I387"")"),0)</f>
        <v>0</v>
      </c>
      <c r="J492" s="189">
        <f ca="1">IFERROR(__xludf.DUMMYFUNCTION("IMPORTRANGE(""https://docs.google.com/spreadsheets/d/1SX6NBoVAgQJ6U1MVXOaj8PK2l7WJ3RER9xtqwdhxkhw/edit?usp=sharing"",""สระแก้ว!J387"")"),11)</f>
        <v>11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IFERROR(__xludf.DUMMYFUNCTION("IMPORTRANGE(""https://docs.google.com/spreadsheets/d/1SX6NBoVAgQJ6U1MVXOaj8PK2l7WJ3RER9xtqwdhxkhw/edit?usp=sharing"",""สระแก้ว!I388"")"),0)</f>
        <v>0</v>
      </c>
      <c r="J493" s="189">
        <f ca="1">IFERROR(__xludf.DUMMYFUNCTION("IMPORTRANGE(""https://docs.google.com/spreadsheets/d/1SX6NBoVAgQJ6U1MVXOaj8PK2l7WJ3RER9xtqwdhxkhw/edit?usp=sharing"",""สระแก้ว!J388"")"),0)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IFERROR(__xludf.DUMMYFUNCTION("IMPORTRANGE(""https://docs.google.com/spreadsheets/d/1SX6NBoVAgQJ6U1MVXOaj8PK2l7WJ3RER9xtqwdhxkhw/edit?usp=sharing"",""สระแก้ว!I389"")"),0)</f>
        <v>0</v>
      </c>
      <c r="J494" s="436">
        <f ca="1">IFERROR(__xludf.DUMMYFUNCTION("IMPORTRANGE(""https://docs.google.com/spreadsheets/d/1SX6NBoVAgQJ6U1MVXOaj8PK2l7WJ3RER9xtqwdhxkhw/edit?usp=sharing"",""สระแก้ว!J389"")"),0)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IFERROR(__xludf.DUMMYFUNCTION("IMPORTRANGE(""https://docs.google.com/spreadsheets/d/1SX6NBoVAgQJ6U1MVXOaj8PK2l7WJ3RER9xtqwdhxkhw/edit?usp=sharing"",""สระแก้ว!I390"")"),0)</f>
        <v>0</v>
      </c>
      <c r="J495" s="436">
        <f ca="1">IFERROR(__xludf.DUMMYFUNCTION("IMPORTRANGE(""https://docs.google.com/spreadsheets/d/1SX6NBoVAgQJ6U1MVXOaj8PK2l7WJ3RER9xtqwdhxkhw/edit?usp=sharing"",""สระแก้ว!J390"")"),0)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IFERROR(__xludf.DUMMYFUNCTION("IMPORTRANGE(""https://docs.google.com/spreadsheets/d/1SX6NBoVAgQJ6U1MVXOaj8PK2l7WJ3RER9xtqwdhxkhw/edit?usp=sharing"",""สระแก้ว!I391"")"),0)</f>
        <v>0</v>
      </c>
      <c r="J496" s="436">
        <f ca="1">IFERROR(__xludf.DUMMYFUNCTION("IMPORTRANGE(""https://docs.google.com/spreadsheets/d/1SX6NBoVAgQJ6U1MVXOaj8PK2l7WJ3RER9xtqwdhxkhw/edit?usp=sharing"",""สระแก้ว!J391"")"),0)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IFERROR(__xludf.DUMMYFUNCTION("IMPORTRANGE(""https://docs.google.com/spreadsheets/d/1SX6NBoVAgQJ6U1MVXOaj8PK2l7WJ3RER9xtqwdhxkhw/edit?usp=sharing"",""สระแก้ว!I392"")"),22372)</f>
        <v>22372</v>
      </c>
      <c r="J497" s="443">
        <f ca="1">IFERROR(__xludf.DUMMYFUNCTION("IMPORTRANGE(""https://docs.google.com/spreadsheets/d/1SX6NBoVAgQJ6U1MVXOaj8PK2l7WJ3RER9xtqwdhxkhw/edit?usp=sharing"",""สระแก้ว!J392"")"),6773)</f>
        <v>6773</v>
      </c>
      <c r="K497" s="444">
        <f t="shared" ca="1" si="117"/>
        <v>30.274450205614162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IFERROR(__xludf.DUMMYFUNCTION("IMPORTRANGE(""https://docs.google.com/spreadsheets/d/1SX6NBoVAgQJ6U1MVXOaj8PK2l7WJ3RER9xtqwdhxkhw/edit?usp=sharing"",""สระแก้ว!I393"")"),22372)</f>
        <v>22372</v>
      </c>
      <c r="J498" s="420">
        <f ca="1">IFERROR(__xludf.DUMMYFUNCTION("IMPORTRANGE(""https://docs.google.com/spreadsheets/d/1SX6NBoVAgQJ6U1MVXOaj8PK2l7WJ3RER9xtqwdhxkhw/edit?usp=sharing"",""สระแก้ว!J393"")"),6773)</f>
        <v>6773</v>
      </c>
      <c r="K498" s="202">
        <f t="shared" ca="1" si="117"/>
        <v>30.274450205614162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IFERROR(__xludf.DUMMYFUNCTION("IMPORTRANGE(""https://docs.google.com/spreadsheets/d/1SX6NBoVAgQJ6U1MVXOaj8PK2l7WJ3RER9xtqwdhxkhw/edit?usp=sharing"",""สระแก้ว!I394"")"),1398)</f>
        <v>1398</v>
      </c>
      <c r="J499" s="420">
        <f ca="1">IFERROR(__xludf.DUMMYFUNCTION("IMPORTRANGE(""https://docs.google.com/spreadsheets/d/1SX6NBoVAgQJ6U1MVXOaj8PK2l7WJ3RER9xtqwdhxkhw/edit?usp=sharing"",""สระแก้ว!J394"")"),382)</f>
        <v>382</v>
      </c>
      <c r="K499" s="202">
        <f t="shared" ca="1" si="117"/>
        <v>27.324749642346209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IFERROR(__xludf.DUMMYFUNCTION("IMPORTRANGE(""https://docs.google.com/spreadsheets/d/1SX6NBoVAgQJ6U1MVXOaj8PK2l7WJ3RER9xtqwdhxkhw/edit?usp=sharing"",""สระแก้ว!I395"")"),0)</f>
        <v>0</v>
      </c>
      <c r="J500" s="162">
        <f ca="1">IFERROR(__xludf.DUMMYFUNCTION("IMPORTRANGE(""https://docs.google.com/spreadsheets/d/1SX6NBoVAgQJ6U1MVXOaj8PK2l7WJ3RER9xtqwdhxkhw/edit?usp=sharing"",""สระแก้ว!J395"")"),6330)</f>
        <v>6330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IFERROR(__xludf.DUMMYFUNCTION("IMPORTRANGE(""https://docs.google.com/spreadsheets/d/1SX6NBoVAgQJ6U1MVXOaj8PK2l7WJ3RER9xtqwdhxkhw/edit?usp=sharing"",""สระแก้ว!I396"")"),0)</f>
        <v>0</v>
      </c>
      <c r="J501" s="162">
        <f ca="1">IFERROR(__xludf.DUMMYFUNCTION("IMPORTRANGE(""https://docs.google.com/spreadsheets/d/1SX6NBoVAgQJ6U1MVXOaj8PK2l7WJ3RER9xtqwdhxkhw/edit?usp=sharing"",""สระแก้ว!J396"")"),363)</f>
        <v>363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IFERROR(__xludf.DUMMYFUNCTION("IMPORTRANGE(""https://docs.google.com/spreadsheets/d/1SX6NBoVAgQJ6U1MVXOaj8PK2l7WJ3RER9xtqwdhxkhw/edit?usp=sharing"",""สระแก้ว!I397"")"),0)</f>
        <v>0</v>
      </c>
      <c r="J502" s="189">
        <f ca="1">IFERROR(__xludf.DUMMYFUNCTION("IMPORTRANGE(""https://docs.google.com/spreadsheets/d/1SX6NBoVAgQJ6U1MVXOaj8PK2l7WJ3RER9xtqwdhxkhw/edit?usp=sharing"",""สระแก้ว!J397"")"),6330)</f>
        <v>6330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IFERROR(__xludf.DUMMYFUNCTION("IMPORTRANGE(""https://docs.google.com/spreadsheets/d/1SX6NBoVAgQJ6U1MVXOaj8PK2l7WJ3RER9xtqwdhxkhw/edit?usp=sharing"",""สระแก้ว!I398"")"),0)</f>
        <v>0</v>
      </c>
      <c r="J503" s="198">
        <f ca="1">IFERROR(__xludf.DUMMYFUNCTION("IMPORTRANGE(""https://docs.google.com/spreadsheets/d/1SX6NBoVAgQJ6U1MVXOaj8PK2l7WJ3RER9xtqwdhxkhw/edit?usp=sharing"",""สระแก้ว!J398"")"),363)</f>
        <v>363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IFERROR(__xludf.DUMMYFUNCTION("IMPORTRANGE(""https://docs.google.com/spreadsheets/d/1SX6NBoVAgQJ6U1MVXOaj8PK2l7WJ3RER9xtqwdhxkhw/edit?usp=sharing"",""สระแก้ว!I399"")"),0)</f>
        <v>0</v>
      </c>
      <c r="J504" s="189">
        <f ca="1">IFERROR(__xludf.DUMMYFUNCTION("IMPORTRANGE(""https://docs.google.com/spreadsheets/d/1SX6NBoVAgQJ6U1MVXOaj8PK2l7WJ3RER9xtqwdhxkhw/edit?usp=sharing"",""สระแก้ว!J399"")"),0)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IFERROR(__xludf.DUMMYFUNCTION("IMPORTRANGE(""https://docs.google.com/spreadsheets/d/1SX6NBoVAgQJ6U1MVXOaj8PK2l7WJ3RER9xtqwdhxkhw/edit?usp=sharing"",""สระแก้ว!I400"")"),0)</f>
        <v>0</v>
      </c>
      <c r="J505" s="198">
        <f ca="1">IFERROR(__xludf.DUMMYFUNCTION("IMPORTRANGE(""https://docs.google.com/spreadsheets/d/1SX6NBoVAgQJ6U1MVXOaj8PK2l7WJ3RER9xtqwdhxkhw/edit?usp=sharing"",""สระแก้ว!J400"")"),0)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IFERROR(__xludf.DUMMYFUNCTION("IMPORTRANGE(""https://docs.google.com/spreadsheets/d/1SX6NBoVAgQJ6U1MVXOaj8PK2l7WJ3RER9xtqwdhxkhw/edit?usp=sharing"",""สระแก้ว!I401"")"),0)</f>
        <v>0</v>
      </c>
      <c r="J506" s="189">
        <f ca="1">IFERROR(__xludf.DUMMYFUNCTION("IMPORTRANGE(""https://docs.google.com/spreadsheets/d/1SX6NBoVAgQJ6U1MVXOaj8PK2l7WJ3RER9xtqwdhxkhw/edit?usp=sharing"",""สระแก้ว!J401"")"),0)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IFERROR(__xludf.DUMMYFUNCTION("IMPORTRANGE(""https://docs.google.com/spreadsheets/d/1SX6NBoVAgQJ6U1MVXOaj8PK2l7WJ3RER9xtqwdhxkhw/edit?usp=sharing"",""สระแก้ว!I402"")"),0)</f>
        <v>0</v>
      </c>
      <c r="J507" s="198">
        <f ca="1">IFERROR(__xludf.DUMMYFUNCTION("IMPORTRANGE(""https://docs.google.com/spreadsheets/d/1SX6NBoVAgQJ6U1MVXOaj8PK2l7WJ3RER9xtqwdhxkhw/edit?usp=sharing"",""สระแก้ว!J402"")"),0)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IFERROR(__xludf.DUMMYFUNCTION("IMPORTRANGE(""https://docs.google.com/spreadsheets/d/1SX6NBoVAgQJ6U1MVXOaj8PK2l7WJ3RER9xtqwdhxkhw/edit?usp=sharing"",""สระแก้ว!I403"")"),0)</f>
        <v>0</v>
      </c>
      <c r="J508" s="162">
        <f ca="1">IFERROR(__xludf.DUMMYFUNCTION("IMPORTRANGE(""https://docs.google.com/spreadsheets/d/1SX6NBoVAgQJ6U1MVXOaj8PK2l7WJ3RER9xtqwdhxkhw/edit?usp=sharing"",""สระแก้ว!J403"")"),443)</f>
        <v>443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IFERROR(__xludf.DUMMYFUNCTION("IMPORTRANGE(""https://docs.google.com/spreadsheets/d/1SX6NBoVAgQJ6U1MVXOaj8PK2l7WJ3RER9xtqwdhxkhw/edit?usp=sharing"",""สระแก้ว!I404"")"),0)</f>
        <v>0</v>
      </c>
      <c r="J509" s="162">
        <f ca="1">IFERROR(__xludf.DUMMYFUNCTION("IMPORTRANGE(""https://docs.google.com/spreadsheets/d/1SX6NBoVAgQJ6U1MVXOaj8PK2l7WJ3RER9xtqwdhxkhw/edit?usp=sharing"",""สระแก้ว!J404"")"),19)</f>
        <v>19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IFERROR(__xludf.DUMMYFUNCTION("IMPORTRANGE(""https://docs.google.com/spreadsheets/d/1SX6NBoVAgQJ6U1MVXOaj8PK2l7WJ3RER9xtqwdhxkhw/edit?usp=sharing"",""สระแก้ว!I405"")"),0)</f>
        <v>0</v>
      </c>
      <c r="J510" s="198">
        <f ca="1">IFERROR(__xludf.DUMMYFUNCTION("IMPORTRANGE(""https://docs.google.com/spreadsheets/d/1SX6NBoVAgQJ6U1MVXOaj8PK2l7WJ3RER9xtqwdhxkhw/edit?usp=sharing"",""สระแก้ว!J405"")"),422)</f>
        <v>422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IFERROR(__xludf.DUMMYFUNCTION("IMPORTRANGE(""https://docs.google.com/spreadsheets/d/1SX6NBoVAgQJ6U1MVXOaj8PK2l7WJ3RER9xtqwdhxkhw/edit?usp=sharing"",""สระแก้ว!I406"")"),0)</f>
        <v>0</v>
      </c>
      <c r="J511" s="198">
        <f ca="1">IFERROR(__xludf.DUMMYFUNCTION("IMPORTRANGE(""https://docs.google.com/spreadsheets/d/1SX6NBoVAgQJ6U1MVXOaj8PK2l7WJ3RER9xtqwdhxkhw/edit?usp=sharing"",""สระแก้ว!J406"")"),17)</f>
        <v>17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IFERROR(__xludf.DUMMYFUNCTION("IMPORTRANGE(""https://docs.google.com/spreadsheets/d/1SX6NBoVAgQJ6U1MVXOaj8PK2l7WJ3RER9xtqwdhxkhw/edit?usp=sharing"",""สระแก้ว!I407"")"),0)</f>
        <v>0</v>
      </c>
      <c r="J512" s="198">
        <f ca="1">IFERROR(__xludf.DUMMYFUNCTION("IMPORTRANGE(""https://docs.google.com/spreadsheets/d/1SX6NBoVAgQJ6U1MVXOaj8PK2l7WJ3RER9xtqwdhxkhw/edit?usp=sharing"",""สระแก้ว!J407"")"),21)</f>
        <v>21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IFERROR(__xludf.DUMMYFUNCTION("IMPORTRANGE(""https://docs.google.com/spreadsheets/d/1SX6NBoVAgQJ6U1MVXOaj8PK2l7WJ3RER9xtqwdhxkhw/edit?usp=sharing"",""สระแก้ว!I408"")"),0)</f>
        <v>0</v>
      </c>
      <c r="J513" s="198">
        <f ca="1">IFERROR(__xludf.DUMMYFUNCTION("IMPORTRANGE(""https://docs.google.com/spreadsheets/d/1SX6NBoVAgQJ6U1MVXOaj8PK2l7WJ3RER9xtqwdhxkhw/edit?usp=sharing"",""สระแก้ว!J408"")"),2)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IFERROR(__xludf.DUMMYFUNCTION("IMPORTRANGE(""https://docs.google.com/spreadsheets/d/1SX6NBoVAgQJ6U1MVXOaj8PK2l7WJ3RER9xtqwdhxkhw/edit?usp=sharing"",""สระแก้ว!I409"")"),0)</f>
        <v>0</v>
      </c>
      <c r="J514" s="198">
        <f ca="1">IFERROR(__xludf.DUMMYFUNCTION("IMPORTRANGE(""https://docs.google.com/spreadsheets/d/1SX6NBoVAgQJ6U1MVXOaj8PK2l7WJ3RER9xtqwdhxkhw/edit?usp=sharing"",""สระแก้ว!J409"")"),0)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IFERROR(__xludf.DUMMYFUNCTION("IMPORTRANGE(""https://docs.google.com/spreadsheets/d/1SX6NBoVAgQJ6U1MVXOaj8PK2l7WJ3RER9xtqwdhxkhw/edit?usp=sharing"",""สระแก้ว!I410"")"),0)</f>
        <v>0</v>
      </c>
      <c r="J515" s="198">
        <f ca="1">IFERROR(__xludf.DUMMYFUNCTION("IMPORTRANGE(""https://docs.google.com/spreadsheets/d/1SX6NBoVAgQJ6U1MVXOaj8PK2l7WJ3RER9xtqwdhxkhw/edit?usp=sharing"",""สระแก้ว!J410"")"),0)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IFERROR(__xludf.DUMMYFUNCTION("IMPORTRANGE(""https://docs.google.com/spreadsheets/d/1SX6NBoVAgQJ6U1MVXOaj8PK2l7WJ3RER9xtqwdhxkhw/edit?usp=sharing"",""สระแก้ว!I411"")"),0)</f>
        <v>0</v>
      </c>
      <c r="J516" s="268">
        <f ca="1">IFERROR(__xludf.DUMMYFUNCTION("IMPORTRANGE(""https://docs.google.com/spreadsheets/d/1SX6NBoVAgQJ6U1MVXOaj8PK2l7WJ3RER9xtqwdhxkhw/edit?usp=sharing"",""สระแก้ว!J411"")"),0)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IFERROR(__xludf.DUMMYFUNCTION("IMPORTRANGE(""https://docs.google.com/spreadsheets/d/1SX6NBoVAgQJ6U1MVXOaj8PK2l7WJ3RER9xtqwdhxkhw/edit?usp=sharing"",""สระแก้ว!I412"")"),0)</f>
        <v>0</v>
      </c>
      <c r="J517" s="285">
        <f ca="1">IFERROR(__xludf.DUMMYFUNCTION("IMPORTRANGE(""https://docs.google.com/spreadsheets/d/1SX6NBoVAgQJ6U1MVXOaj8PK2l7WJ3RER9xtqwdhxkhw/edit?usp=sharing"",""สระแก้ว!J412"")"),0)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IFERROR(__xludf.DUMMYFUNCTION("IMPORTRANGE(""https://docs.google.com/spreadsheets/d/1SX6NBoVAgQJ6U1MVXOaj8PK2l7WJ3RER9xtqwdhxkhw/edit?usp=sharing"",""สระแก้ว!I413"")"),0)</f>
        <v>0</v>
      </c>
      <c r="J518" s="285">
        <f ca="1">IFERROR(__xludf.DUMMYFUNCTION("IMPORTRANGE(""https://docs.google.com/spreadsheets/d/1SX6NBoVAgQJ6U1MVXOaj8PK2l7WJ3RER9xtqwdhxkhw/edit?usp=sharing"",""สระแก้ว!J413"")"),0)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IFERROR(__xludf.DUMMYFUNCTION("IMPORTRANGE(""https://docs.google.com/spreadsheets/d/1SX6NBoVAgQJ6U1MVXOaj8PK2l7WJ3RER9xtqwdhxkhw/edit?usp=sharing"",""สระแก้ว!I414"")"),0)</f>
        <v>0</v>
      </c>
      <c r="J519" s="188">
        <f ca="1">IFERROR(__xludf.DUMMYFUNCTION("IMPORTRANGE(""https://docs.google.com/spreadsheets/d/1SX6NBoVAgQJ6U1MVXOaj8PK2l7WJ3RER9xtqwdhxkhw/edit?usp=sharing"",""สระแก้ว!J414"")"),0)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IFERROR(__xludf.DUMMYFUNCTION("IMPORTRANGE(""https://docs.google.com/spreadsheets/d/1SX6NBoVAgQJ6U1MVXOaj8PK2l7WJ3RER9xtqwdhxkhw/edit?usp=sharing"",""สระแก้ว!I415"")"),0)</f>
        <v>0</v>
      </c>
      <c r="J520" s="188">
        <f ca="1">IFERROR(__xludf.DUMMYFUNCTION("IMPORTRANGE(""https://docs.google.com/spreadsheets/d/1SX6NBoVAgQJ6U1MVXOaj8PK2l7WJ3RER9xtqwdhxkhw/edit?usp=sharing"",""สระแก้ว!J415"")"),0)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IFERROR(__xludf.DUMMYFUNCTION("IMPORTRANGE(""https://docs.google.com/spreadsheets/d/1SX6NBoVAgQJ6U1MVXOaj8PK2l7WJ3RER9xtqwdhxkhw/edit?usp=sharing"",""สระแก้ว!I416"")"),0)</f>
        <v>0</v>
      </c>
      <c r="J521" s="188">
        <f ca="1">IFERROR(__xludf.DUMMYFUNCTION("IMPORTRANGE(""https://docs.google.com/spreadsheets/d/1SX6NBoVAgQJ6U1MVXOaj8PK2l7WJ3RER9xtqwdhxkhw/edit?usp=sharing"",""สระแก้ว!J416"")"),0)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IFERROR(__xludf.DUMMYFUNCTION("IMPORTRANGE(""https://docs.google.com/spreadsheets/d/1SX6NBoVAgQJ6U1MVXOaj8PK2l7WJ3RER9xtqwdhxkhw/edit?usp=sharing"",""สระแก้ว!I417"")"),0)</f>
        <v>0</v>
      </c>
      <c r="J522" s="188">
        <f ca="1">IFERROR(__xludf.DUMMYFUNCTION("IMPORTRANGE(""https://docs.google.com/spreadsheets/d/1SX6NBoVAgQJ6U1MVXOaj8PK2l7WJ3RER9xtqwdhxkhw/edit?usp=sharing"",""สระแก้ว!J417"")"),0)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IFERROR(__xludf.DUMMYFUNCTION("IMPORTRANGE(""https://docs.google.com/spreadsheets/d/1SX6NBoVAgQJ6U1MVXOaj8PK2l7WJ3RER9xtqwdhxkhw/edit?usp=sharing"",""สระแก้ว!I418"")"),0)</f>
        <v>0</v>
      </c>
      <c r="J523" s="188">
        <f ca="1">IFERROR(__xludf.DUMMYFUNCTION("IMPORTRANGE(""https://docs.google.com/spreadsheets/d/1SX6NBoVAgQJ6U1MVXOaj8PK2l7WJ3RER9xtqwdhxkhw/edit?usp=sharing"",""สระแก้ว!J418"")"),2360)</f>
        <v>2360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IFERROR(__xludf.DUMMYFUNCTION("IMPORTRANGE(""https://docs.google.com/spreadsheets/d/1SX6NBoVAgQJ6U1MVXOaj8PK2l7WJ3RER9xtqwdhxkhw/edit?usp=sharing"",""สระแก้ว!I419"")"),0)</f>
        <v>0</v>
      </c>
      <c r="J524" s="188">
        <f ca="1">IFERROR(__xludf.DUMMYFUNCTION("IMPORTRANGE(""https://docs.google.com/spreadsheets/d/1SX6NBoVAgQJ6U1MVXOaj8PK2l7WJ3RER9xtqwdhxkhw/edit?usp=sharing"",""สระแก้ว!J419"")"),64)</f>
        <v>64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IFERROR(__xludf.DUMMYFUNCTION("IMPORTRANGE(""https://docs.google.com/spreadsheets/d/1SX6NBoVAgQJ6U1MVXOaj8PK2l7WJ3RER9xtqwdhxkhw/edit?usp=sharing"",""สระแก้ว!I420"")"),2360)</f>
        <v>2360</v>
      </c>
      <c r="J525" s="285">
        <f ca="1">IFERROR(__xludf.DUMMYFUNCTION("IMPORTRANGE(""https://docs.google.com/spreadsheets/d/1SX6NBoVAgQJ6U1MVXOaj8PK2l7WJ3RER9xtqwdhxkhw/edit?usp=sharing"",""สระแก้ว!J420"")"),0)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IFERROR(__xludf.DUMMYFUNCTION("IMPORTRANGE(""https://docs.google.com/spreadsheets/d/1SX6NBoVAgQJ6U1MVXOaj8PK2l7WJ3RER9xtqwdhxkhw/edit?usp=sharing"",""สระแก้ว!I421"")"),64)</f>
        <v>64</v>
      </c>
      <c r="J526" s="285">
        <f ca="1">IFERROR(__xludf.DUMMYFUNCTION("IMPORTRANGE(""https://docs.google.com/spreadsheets/d/1SX6NBoVAgQJ6U1MVXOaj8PK2l7WJ3RER9xtqwdhxkhw/edit?usp=sharing"",""สระแก้ว!J421"")"),0)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IFERROR(__xludf.DUMMYFUNCTION("IMPORTRANGE(""https://docs.google.com/spreadsheets/d/1SX6NBoVAgQJ6U1MVXOaj8PK2l7WJ3RER9xtqwdhxkhw/edit?usp=sharing"",""สระแก้ว!I422"")"),0)</f>
        <v>0</v>
      </c>
      <c r="J527" s="198">
        <f ca="1">IFERROR(__xludf.DUMMYFUNCTION("IMPORTRANGE(""https://docs.google.com/spreadsheets/d/1SX6NBoVAgQJ6U1MVXOaj8PK2l7WJ3RER9xtqwdhxkhw/edit?usp=sharing"",""สระแก้ว!J422"")"),0)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IFERROR(__xludf.DUMMYFUNCTION("IMPORTRANGE(""https://docs.google.com/spreadsheets/d/1SX6NBoVAgQJ6U1MVXOaj8PK2l7WJ3RER9xtqwdhxkhw/edit?usp=sharing"",""สระแก้ว!I423"")"),0)</f>
        <v>0</v>
      </c>
      <c r="J528" s="198">
        <f ca="1">IFERROR(__xludf.DUMMYFUNCTION("IMPORTRANGE(""https://docs.google.com/spreadsheets/d/1SX6NBoVAgQJ6U1MVXOaj8PK2l7WJ3RER9xtqwdhxkhw/edit?usp=sharing"",""สระแก้ว!J423"")"),0)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IFERROR(__xludf.DUMMYFUNCTION("IMPORTRANGE(""https://docs.google.com/spreadsheets/d/1SX6NBoVAgQJ6U1MVXOaj8PK2l7WJ3RER9xtqwdhxkhw/edit?usp=sharing"",""สระแก้ว!I424"")"),0)</f>
        <v>0</v>
      </c>
      <c r="J529" s="198">
        <f ca="1">IFERROR(__xludf.DUMMYFUNCTION("IMPORTRANGE(""https://docs.google.com/spreadsheets/d/1SX6NBoVAgQJ6U1MVXOaj8PK2l7WJ3RER9xtqwdhxkhw/edit?usp=sharing"",""สระแก้ว!J424"")"),0)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IFERROR(__xludf.DUMMYFUNCTION("IMPORTRANGE(""https://docs.google.com/spreadsheets/d/1SX6NBoVAgQJ6U1MVXOaj8PK2l7WJ3RER9xtqwdhxkhw/edit?usp=sharing"",""สระแก้ว!I425"")"),0)</f>
        <v>0</v>
      </c>
      <c r="J530" s="198">
        <f ca="1">IFERROR(__xludf.DUMMYFUNCTION("IMPORTRANGE(""https://docs.google.com/spreadsheets/d/1SX6NBoVAgQJ6U1MVXOaj8PK2l7WJ3RER9xtqwdhxkhw/edit?usp=sharing"",""สระแก้ว!J425"")"),0)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IFERROR(__xludf.DUMMYFUNCTION("IMPORTRANGE(""https://docs.google.com/spreadsheets/d/1SX6NBoVAgQJ6U1MVXOaj8PK2l7WJ3RER9xtqwdhxkhw/edit?usp=sharing"",""สระแก้ว!I426"")"),0)</f>
        <v>0</v>
      </c>
      <c r="J531" s="198">
        <f ca="1">IFERROR(__xludf.DUMMYFUNCTION("IMPORTRANGE(""https://docs.google.com/spreadsheets/d/1SX6NBoVAgQJ6U1MVXOaj8PK2l7WJ3RER9xtqwdhxkhw/edit?usp=sharing"",""สระแก้ว!J426"")"),0)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IFERROR(__xludf.DUMMYFUNCTION("IMPORTRANGE(""https://docs.google.com/spreadsheets/d/1SX6NBoVAgQJ6U1MVXOaj8PK2l7WJ3RER9xtqwdhxkhw/edit?usp=sharing"",""สระแก้ว!I427"")"),0)</f>
        <v>0</v>
      </c>
      <c r="J532" s="466">
        <f ca="1">IFERROR(__xludf.DUMMYFUNCTION("IMPORTRANGE(""https://docs.google.com/spreadsheets/d/1SX6NBoVAgQJ6U1MVXOaj8PK2l7WJ3RER9xtqwdhxkhw/edit?usp=sharing"",""สระแก้ว!J427"")"),0)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IFERROR(__xludf.DUMMYFUNCTION("IMPORTRANGE(""https://docs.google.com/spreadsheets/d/1SX6NBoVAgQJ6U1MVXOaj8PK2l7WJ3RER9xtqwdhxkhw/edit?usp=sharing"",""สระแก้ว!I428"")"),22)</f>
        <v>22</v>
      </c>
      <c r="J533" s="410">
        <f ca="1">IFERROR(__xludf.DUMMYFUNCTION("IMPORTRANGE(""https://docs.google.com/spreadsheets/d/1SX6NBoVAgQJ6U1MVXOaj8PK2l7WJ3RER9xtqwdhxkhw/edit?usp=sharing"",""สระแก้ว!J428"")"),22)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IFERROR(__xludf.DUMMYFUNCTION("IMPORTRANGE(""https://docs.google.com/spreadsheets/d/1SX6NBoVAgQJ6U1MVXOaj8PK2l7WJ3RER9xtqwdhxkhw/edit?usp=sharing"",""สระแก้ว!L428"")"),34340)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IFERROR(__xludf.DUMMYFUNCTION("IMPORTRANGE(""https://docs.google.com/spreadsheets/d/1SX6NBoVAgQJ6U1MVXOaj8PK2l7WJ3RER9xtqwdhxkhw/edit?usp=sharing"",""สระแก้ว!M428"")"),34340)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IFERROR(__xludf.DUMMYFUNCTION("IMPORTRANGE(""https://docs.google.com/spreadsheets/d/1SX6NBoVAgQJ6U1MVXOaj8PK2l7WJ3RER9xtqwdhxkhw/edit?usp=sharing"",""สระแก้ว!L429"")"),0)</f>
        <v>0</v>
      </c>
      <c r="M534" s="164"/>
      <c r="N534" s="169">
        <f ca="1">IFERROR(__xludf.DUMMYFUNCTION("IMPORTRANGE(""https://docs.google.com/spreadsheets/d/1SX6NBoVAgQJ6U1MVXOaj8PK2l7WJ3RER9xtqwdhxkhw/edit?usp=sharing"",""สระแก้ว!M429"")"),0)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IFERROR(__xludf.DUMMYFUNCTION("IMPORTRANGE(""https://docs.google.com/spreadsheets/d/1SX6NBoVAgQJ6U1MVXOaj8PK2l7WJ3RER9xtqwdhxkhw/edit?usp=sharing"",""สระแก้ว!L430"")"),34340)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IFERROR(__xludf.DUMMYFUNCTION("IMPORTRANGE(""https://docs.google.com/spreadsheets/d/1SX6NBoVAgQJ6U1MVXOaj8PK2l7WJ3RER9xtqwdhxkhw/edit?usp=sharing"",""สระแก้ว!M430"")"),34340)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IFERROR(__xludf.DUMMYFUNCTION("IMPORTRANGE(""https://docs.google.com/spreadsheets/d/1SX6NBoVAgQJ6U1MVXOaj8PK2l7WJ3RER9xtqwdhxkhw/edit?usp=sharing"",""สระแก้ว!L431"")"),0)</f>
        <v>0</v>
      </c>
      <c r="M536" s="169"/>
      <c r="N536" s="169">
        <f ca="1">IFERROR(__xludf.DUMMYFUNCTION("IMPORTRANGE(""https://docs.google.com/spreadsheets/d/1SX6NBoVAgQJ6U1MVXOaj8PK2l7WJ3RER9xtqwdhxkhw/edit?usp=sharing"",""สระแก้ว!M431"")"),0)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IFERROR(__xludf.DUMMYFUNCTION("IMPORTRANGE(""https://docs.google.com/spreadsheets/d/1SX6NBoVAgQJ6U1MVXOaj8PK2l7WJ3RER9xtqwdhxkhw/edit?usp=sharing"",""สระแก้ว!L432"")"),34340)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IFERROR(__xludf.DUMMYFUNCTION("IMPORTRANGE(""https://docs.google.com/spreadsheets/d/1SX6NBoVAgQJ6U1MVXOaj8PK2l7WJ3RER9xtqwdhxkhw/edit?usp=sharing"",""สระแก้ว!M432"")"),34340)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IFERROR(__xludf.DUMMYFUNCTION("IMPORTRANGE(""https://docs.google.com/spreadsheets/d/1SX6NBoVAgQJ6U1MVXOaj8PK2l7WJ3RER9xtqwdhxkhw/edit?usp=sharing"",""สระแก้ว!M433"")"),18740)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IFERROR(__xludf.DUMMYFUNCTION("IMPORTRANGE(""https://docs.google.com/spreadsheets/d/1SX6NBoVAgQJ6U1MVXOaj8PK2l7WJ3RER9xtqwdhxkhw/edit?usp=sharing"",""สระแก้ว!M434"")"),0)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IFERROR(__xludf.DUMMYFUNCTION("IMPORTRANGE(""https://docs.google.com/spreadsheets/d/1SX6NBoVAgQJ6U1MVXOaj8PK2l7WJ3RER9xtqwdhxkhw/edit?usp=sharing"",""สระแก้ว!M435"")"),0)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IFERROR(__xludf.DUMMYFUNCTION("IMPORTRANGE(""https://docs.google.com/spreadsheets/d/1SX6NBoVAgQJ6U1MVXOaj8PK2l7WJ3RER9xtqwdhxkhw/edit?usp=sharing"",""สระแก้ว!M436"")"),15600)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IFERROR(__xludf.DUMMYFUNCTION("IMPORTRANGE(""https://docs.google.com/spreadsheets/d/1SX6NBoVAgQJ6U1MVXOaj8PK2l7WJ3RER9xtqwdhxkhw/edit?usp=sharing"",""สระแก้ว!J438"")"),0)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IFERROR(__xludf.DUMMYFUNCTION("IMPORTRANGE(""https://docs.google.com/spreadsheets/d/1SX6NBoVAgQJ6U1MVXOaj8PK2l7WJ3RER9xtqwdhxkhw/edit?usp=sharing"",""สระแก้ว!J439"")"),1)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IFERROR(__xludf.DUMMYFUNCTION("IMPORTRANGE(""https://docs.google.com/spreadsheets/d/1SX6NBoVAgQJ6U1MVXOaj8PK2l7WJ3RER9xtqwdhxkhw/edit?usp=sharing"",""สระแก้ว!J440"")"),1)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IFERROR(__xludf.DUMMYFUNCTION("IMPORTRANGE(""https://docs.google.com/spreadsheets/d/1SX6NBoVAgQJ6U1MVXOaj8PK2l7WJ3RER9xtqwdhxkhw/edit?usp=sharing"",""สระแก้ว!J441"")"),1)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IFERROR(__xludf.DUMMYFUNCTION("IMPORTRANGE(""https://docs.google.com/spreadsheets/d/1SX6NBoVAgQJ6U1MVXOaj8PK2l7WJ3RER9xtqwdhxkhw/edit?usp=sharing"",""สระแก้ว!I442"")"),22)</f>
        <v>22</v>
      </c>
      <c r="J547" s="189">
        <f ca="1">IFERROR(__xludf.DUMMYFUNCTION("IMPORTRANGE(""https://docs.google.com/spreadsheets/d/1SX6NBoVAgQJ6U1MVXOaj8PK2l7WJ3RER9xtqwdhxkhw/edit?usp=sharing"",""สระแก้ว!J442"")"),22)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IFERROR(__xludf.DUMMYFUNCTION("IMPORTRANGE(""https://docs.google.com/spreadsheets/d/1SX6NBoVAgQJ6U1MVXOaj8PK2l7WJ3RER9xtqwdhxkhw/edit?usp=sharing"",""สระแก้ว!J166"")"),0)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IFERROR(__xludf.DUMMYFUNCTION("IMPORTRANGE(""https://docs.google.com/spreadsheets/d/1SX6NBoVAgQJ6U1MVXOaj8PK2l7WJ3RER9xtqwdhxkhw/edit?usp=sharing"",""สระแก้ว!J444"")"),1)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IFERROR(__xludf.DUMMYFUNCTION("IMPORTRANGE(""https://docs.google.com/spreadsheets/d/1SX6NBoVAgQJ6U1MVXOaj8PK2l7WJ3RER9xtqwdhxkhw/edit?usp=sharing"",""สระแก้ว!J445"")"),1)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IFERROR(__xludf.DUMMYFUNCTION("IMPORTRANGE(""https://docs.google.com/spreadsheets/d/1SX6NBoVAgQJ6U1MVXOaj8PK2l7WJ3RER9xtqwdhxkhw/edit?usp=sharing"",""สระแก้ว!I446"")"),0)</f>
        <v>0</v>
      </c>
      <c r="J551" s="410">
        <f ca="1">IFERROR(__xludf.DUMMYFUNCTION("IMPORTRANGE(""https://docs.google.com/spreadsheets/d/1SX6NBoVAgQJ6U1MVXOaj8PK2l7WJ3RER9xtqwdhxkhw/edit?usp=sharing"",""สระแก้ว!J446"")"),0)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IFERROR(__xludf.DUMMYFUNCTION("IMPORTRANGE(""https://docs.google.com/spreadsheets/d/1SX6NBoVAgQJ6U1MVXOaj8PK2l7WJ3RER9xtqwdhxkhw/edit?usp=sharing"",""สระแก้ว!L446"")"),0)</f>
        <v>0</v>
      </c>
      <c r="M551" s="412"/>
      <c r="N551" s="412">
        <f ca="1">IFERROR(__xludf.DUMMYFUNCTION("IMPORTRANGE(""https://docs.google.com/spreadsheets/d/1SX6NBoVAgQJ6U1MVXOaj8PK2l7WJ3RER9xtqwdhxkhw/edit?usp=sharing"",""สระแก้ว!M446"")"),0)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IFERROR(__xludf.DUMMYFUNCTION("IMPORTRANGE(""https://docs.google.com/spreadsheets/d/1SX6NBoVAgQJ6U1MVXOaj8PK2l7WJ3RER9xtqwdhxkhw/edit?usp=sharing"",""สระแก้ว!L447"")"),0)</f>
        <v>0</v>
      </c>
      <c r="M552" s="164"/>
      <c r="N552" s="169">
        <f ca="1">IFERROR(__xludf.DUMMYFUNCTION("IMPORTRANGE(""https://docs.google.com/spreadsheets/d/1SX6NBoVAgQJ6U1MVXOaj8PK2l7WJ3RER9xtqwdhxkhw/edit?usp=sharing"",""สระแก้ว!M447"")"),0)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IFERROR(__xludf.DUMMYFUNCTION("IMPORTRANGE(""https://docs.google.com/spreadsheets/d/1SX6NBoVAgQJ6U1MVXOaj8PK2l7WJ3RER9xtqwdhxkhw/edit?usp=sharing"",""สระแก้ว!L448"")"),0)</f>
        <v>0</v>
      </c>
      <c r="M553" s="165"/>
      <c r="N553" s="169">
        <f ca="1">IFERROR(__xludf.DUMMYFUNCTION("IMPORTRANGE(""https://docs.google.com/spreadsheets/d/1SX6NBoVAgQJ6U1MVXOaj8PK2l7WJ3RER9xtqwdhxkhw/edit?usp=sharing"",""สระแก้ว!M448"")"),0)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IFERROR(__xludf.DUMMYFUNCTION("IMPORTRANGE(""https://docs.google.com/spreadsheets/d/1SX6NBoVAgQJ6U1MVXOaj8PK2l7WJ3RER9xtqwdhxkhw/edit?usp=sharing"",""สระแก้ว!L449"")"),0)</f>
        <v>0</v>
      </c>
      <c r="M554" s="169"/>
      <c r="N554" s="169">
        <f ca="1">IFERROR(__xludf.DUMMYFUNCTION("IMPORTRANGE(""https://docs.google.com/spreadsheets/d/1SX6NBoVAgQJ6U1MVXOaj8PK2l7WJ3RER9xtqwdhxkhw/edit?usp=sharing"",""สระแก้ว!M449"")"),0)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IFERROR(__xludf.DUMMYFUNCTION("IMPORTRANGE(""https://docs.google.com/spreadsheets/d/1SX6NBoVAgQJ6U1MVXOaj8PK2l7WJ3RER9xtqwdhxkhw/edit?usp=sharing"",""สระแก้ว!L450"")"),0)</f>
        <v>0</v>
      </c>
      <c r="M555" s="169"/>
      <c r="N555" s="169">
        <f ca="1">IFERROR(__xludf.DUMMYFUNCTION("IMPORTRANGE(""https://docs.google.com/spreadsheets/d/1SX6NBoVAgQJ6U1MVXOaj8PK2l7WJ3RER9xtqwdhxkhw/edit?usp=sharing"",""สระแก้ว!M450"")"),0)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IFERROR(__xludf.DUMMYFUNCTION("IMPORTRANGE(""https://docs.google.com/spreadsheets/d/1SX6NBoVAgQJ6U1MVXOaj8PK2l7WJ3RER9xtqwdhxkhw/edit?usp=sharing"",""สระแก้ว!M451"")"),0)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IFERROR(__xludf.DUMMYFUNCTION("IMPORTRANGE(""https://docs.google.com/spreadsheets/d/1SX6NBoVAgQJ6U1MVXOaj8PK2l7WJ3RER9xtqwdhxkhw/edit?usp=sharing"",""สระแก้ว!M452"")"),0)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IFERROR(__xludf.DUMMYFUNCTION("IMPORTRANGE(""https://docs.google.com/spreadsheets/d/1SX6NBoVAgQJ6U1MVXOaj8PK2l7WJ3RER9xtqwdhxkhw/edit?usp=sharing"",""สระแก้ว!M453"")"),0)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IFERROR(__xludf.DUMMYFUNCTION("IMPORTRANGE(""https://docs.google.com/spreadsheets/d/1SX6NBoVAgQJ6U1MVXOaj8PK2l7WJ3RER9xtqwdhxkhw/edit?usp=sharing"",""สระแก้ว!M454"")"),0)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IFERROR(__xludf.DUMMYFUNCTION("IMPORTRANGE(""https://docs.google.com/spreadsheets/d/1SX6NBoVAgQJ6U1MVXOaj8PK2l7WJ3RER9xtqwdhxkhw/edit?usp=sharing"",""สระแก้ว!I455"")"),0)</f>
        <v>0</v>
      </c>
      <c r="J560" s="162">
        <f ca="1">IFERROR(__xludf.DUMMYFUNCTION("IMPORTRANGE(""https://docs.google.com/spreadsheets/d/1SX6NBoVAgQJ6U1MVXOaj8PK2l7WJ3RER9xtqwdhxkhw/edit?usp=sharing"",""สระแก้ว!J455"")"),0)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IFERROR(__xludf.DUMMYFUNCTION("IMPORTRANGE(""https://docs.google.com/spreadsheets/d/1SX6NBoVAgQJ6U1MVXOaj8PK2l7WJ3RER9xtqwdhxkhw/edit?usp=sharing"",""สระแก้ว!I456"")"),0)</f>
        <v>0</v>
      </c>
      <c r="J561" s="204">
        <f ca="1">IFERROR(__xludf.DUMMYFUNCTION("IMPORTRANGE(""https://docs.google.com/spreadsheets/d/1SX6NBoVAgQJ6U1MVXOaj8PK2l7WJ3RER9xtqwdhxkhw/edit?usp=sharing"",""สระแก้ว!J456"")"),0)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IFERROR(__xludf.DUMMYFUNCTION("IMPORTRANGE(""https://docs.google.com/spreadsheets/d/1SX6NBoVAgQJ6U1MVXOaj8PK2l7WJ3RER9xtqwdhxkhw/edit?usp=sharing"",""สระแก้ว!I459"")"),3950)</f>
        <v>3950</v>
      </c>
      <c r="J564" s="371">
        <f ca="1">IFERROR(__xludf.DUMMYFUNCTION("IMPORTRANGE(""https://docs.google.com/spreadsheets/d/1SX6NBoVAgQJ6U1MVXOaj8PK2l7WJ3RER9xtqwdhxkhw/edit?usp=sharing"",""สระแก้ว!J459"")"),9265)</f>
        <v>9265</v>
      </c>
      <c r="K564" s="372">
        <f ca="1">IF(I564&gt;0,J564*100/I564,0)</f>
        <v>234.55696202531647</v>
      </c>
      <c r="L564" s="373">
        <f ca="1">IFERROR(__xludf.DUMMYFUNCTION("IMPORTRANGE(""https://docs.google.com/spreadsheets/d/1SX6NBoVAgQJ6U1MVXOaj8PK2l7WJ3RER9xtqwdhxkhw/edit?usp=sharing"",""สระแก้ว!L459"")"),165600)</f>
        <v>165600</v>
      </c>
      <c r="M564" s="373"/>
      <c r="N564" s="373">
        <f ca="1">IFERROR(__xludf.DUMMYFUNCTION("IMPORTRANGE(""https://docs.google.com/spreadsheets/d/1SX6NBoVAgQJ6U1MVXOaj8PK2l7WJ3RER9xtqwdhxkhw/edit?usp=sharing"",""สระแก้ว!M459"")"),159545.16)</f>
        <v>159545.16</v>
      </c>
      <c r="O564" s="373">
        <f t="shared" ref="O564:O568" ca="1" si="122">+IF(L564&gt;0,N564*100/L564,0)</f>
        <v>96.343695652173906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IFERROR(__xludf.DUMMYFUNCTION("IMPORTRANGE(""https://docs.google.com/spreadsheets/d/1SX6NBoVAgQJ6U1MVXOaj8PK2l7WJ3RER9xtqwdhxkhw/edit?usp=sharing"",""สระแก้ว!L460"")"),0)</f>
        <v>0</v>
      </c>
      <c r="M565" s="164"/>
      <c r="N565" s="169">
        <f ca="1">IFERROR(__xludf.DUMMYFUNCTION("IMPORTRANGE(""https://docs.google.com/spreadsheets/d/1SX6NBoVAgQJ6U1MVXOaj8PK2l7WJ3RER9xtqwdhxkhw/edit?usp=sharing"",""สระแก้ว!M460"")"),0)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IFERROR(__xludf.DUMMYFUNCTION("IMPORTRANGE(""https://docs.google.com/spreadsheets/d/1SX6NBoVAgQJ6U1MVXOaj8PK2l7WJ3RER9xtqwdhxkhw/edit?usp=sharing"",""สระแก้ว!L461"")"),165600)</f>
        <v>165600</v>
      </c>
      <c r="M566" s="165"/>
      <c r="N566" s="169">
        <f ca="1">IFERROR(__xludf.DUMMYFUNCTION("IMPORTRANGE(""https://docs.google.com/spreadsheets/d/1SX6NBoVAgQJ6U1MVXOaj8PK2l7WJ3RER9xtqwdhxkhw/edit?usp=sharing"",""สระแก้ว!M461"")"),159545.16)</f>
        <v>159545.16</v>
      </c>
      <c r="O566" s="169">
        <f t="shared" ca="1" si="122"/>
        <v>96.343695652173906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IFERROR(__xludf.DUMMYFUNCTION("IMPORTRANGE(""https://docs.google.com/spreadsheets/d/1SX6NBoVAgQJ6U1MVXOaj8PK2l7WJ3RER9xtqwdhxkhw/edit?usp=sharing"",""สระแก้ว!L462"")"),0)</f>
        <v>0</v>
      </c>
      <c r="M567" s="169"/>
      <c r="N567" s="169">
        <f ca="1">IFERROR(__xludf.DUMMYFUNCTION("IMPORTRANGE(""https://docs.google.com/spreadsheets/d/1SX6NBoVAgQJ6U1MVXOaj8PK2l7WJ3RER9xtqwdhxkhw/edit?usp=sharing"",""สระแก้ว!M462"")"),0)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IFERROR(__xludf.DUMMYFUNCTION("IMPORTRANGE(""https://docs.google.com/spreadsheets/d/1SX6NBoVAgQJ6U1MVXOaj8PK2l7WJ3RER9xtqwdhxkhw/edit?usp=sharing"",""สระแก้ว!L463"")"),165600)</f>
        <v>165600</v>
      </c>
      <c r="M568" s="169"/>
      <c r="N568" s="169">
        <f ca="1">IFERROR(__xludf.DUMMYFUNCTION("IMPORTRANGE(""https://docs.google.com/spreadsheets/d/1SX6NBoVAgQJ6U1MVXOaj8PK2l7WJ3RER9xtqwdhxkhw/edit?usp=sharing"",""สระแก้ว!M463"")"),159545.16)</f>
        <v>159545.16</v>
      </c>
      <c r="O568" s="169">
        <f t="shared" ca="1" si="122"/>
        <v>96.343695652173906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IFERROR(__xludf.DUMMYFUNCTION("IMPORTRANGE(""https://docs.google.com/spreadsheets/d/1SX6NBoVAgQJ6U1MVXOaj8PK2l7WJ3RER9xtqwdhxkhw/edit?usp=sharing"",""สระแก้ว!M464"")"),0)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IFERROR(__xludf.DUMMYFUNCTION("IMPORTRANGE(""https://docs.google.com/spreadsheets/d/1SX6NBoVAgQJ6U1MVXOaj8PK2l7WJ3RER9xtqwdhxkhw/edit?usp=sharing"",""สระแก้ว!M465"")"),0)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IFERROR(__xludf.DUMMYFUNCTION("IMPORTRANGE(""https://docs.google.com/spreadsheets/d/1SX6NBoVAgQJ6U1MVXOaj8PK2l7WJ3RER9xtqwdhxkhw/edit?usp=sharing"",""สระแก้ว!M466"")"),98645.16)</f>
        <v>98645.16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IFERROR(__xludf.DUMMYFUNCTION("IMPORTRANGE(""https://docs.google.com/spreadsheets/d/1SX6NBoVAgQJ6U1MVXOaj8PK2l7WJ3RER9xtqwdhxkhw/edit?usp=sharing"",""สระแก้ว!M467"")"),60900)</f>
        <v>60900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IFERROR(__xludf.DUMMYFUNCTION("IMPORTRANGE(""https://docs.google.com/spreadsheets/d/1SX6NBoVAgQJ6U1MVXOaj8PK2l7WJ3RER9xtqwdhxkhw/edit?usp=sharing"",""สระแก้ว!I468"")"),3950)</f>
        <v>3950</v>
      </c>
      <c r="J573" s="420">
        <f ca="1">IFERROR(__xludf.DUMMYFUNCTION("IMPORTRANGE(""https://docs.google.com/spreadsheets/d/1SX6NBoVAgQJ6U1MVXOaj8PK2l7WJ3RER9xtqwdhxkhw/edit?usp=sharing"",""สระแก้ว!J468"")"),9265)</f>
        <v>9265</v>
      </c>
      <c r="K573" s="202">
        <f ca="1">IF(I573&gt;0,J573*100/I573,0)</f>
        <v>234.55696202531647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IFERROR(__xludf.DUMMYFUNCTION("IMPORTRANGE(""https://docs.google.com/spreadsheets/d/1SX6NBoVAgQJ6U1MVXOaj8PK2l7WJ3RER9xtqwdhxkhw/edit?usp=sharing"",""สระแก้ว!I470"")"),0)</f>
        <v>0</v>
      </c>
      <c r="J575" s="198">
        <f ca="1">IFERROR(__xludf.DUMMYFUNCTION("IMPORTRANGE(""https://docs.google.com/spreadsheets/d/1SX6NBoVAgQJ6U1MVXOaj8PK2l7WJ3RER9xtqwdhxkhw/edit?usp=sharing"",""สระแก้ว!J470"")"),9)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IFERROR(__xludf.DUMMYFUNCTION("IMPORTRANGE(""https://docs.google.com/spreadsheets/d/1SX6NBoVAgQJ6U1MVXOaj8PK2l7WJ3RER9xtqwdhxkhw/edit?usp=sharing"",""สระแก้ว!I471"")"),0)</f>
        <v>0</v>
      </c>
      <c r="J576" s="198">
        <f ca="1">IFERROR(__xludf.DUMMYFUNCTION("IMPORTRANGE(""https://docs.google.com/spreadsheets/d/1SX6NBoVAgQJ6U1MVXOaj8PK2l7WJ3RER9xtqwdhxkhw/edit?usp=sharing"",""สระแก้ว!J471"")"),154)</f>
        <v>154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IFERROR(__xludf.DUMMYFUNCTION("IMPORTRANGE(""https://docs.google.com/spreadsheets/d/1SX6NBoVAgQJ6U1MVXOaj8PK2l7WJ3RER9xtqwdhxkhw/edit?usp=sharing"",""สระแก้ว!I472"")"),0)</f>
        <v>0</v>
      </c>
      <c r="J577" s="189">
        <f ca="1">IFERROR(__xludf.DUMMYFUNCTION("IMPORTRANGE(""https://docs.google.com/spreadsheets/d/1SX6NBoVAgQJ6U1MVXOaj8PK2l7WJ3RER9xtqwdhxkhw/edit?usp=sharing"",""สระแก้ว!J472"")"),9111)</f>
        <v>9111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IFERROR(__xludf.DUMMYFUNCTION("IMPORTRANGE(""https://docs.google.com/spreadsheets/d/1SX6NBoVAgQJ6U1MVXOaj8PK2l7WJ3RER9xtqwdhxkhw/edit?usp=sharing"",""สระแก้ว!I473"")"),0)</f>
        <v>0</v>
      </c>
      <c r="J578" s="198">
        <f ca="1">IFERROR(__xludf.DUMMYFUNCTION("IMPORTRANGE(""https://docs.google.com/spreadsheets/d/1SX6NBoVAgQJ6U1MVXOaj8PK2l7WJ3RER9xtqwdhxkhw/edit?usp=sharing"",""สระแก้ว!J473"")"),0)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IFERROR(__xludf.DUMMYFUNCTION("IMPORTRANGE(""https://docs.google.com/spreadsheets/d/1SX6NBoVAgQJ6U1MVXOaj8PK2l7WJ3RER9xtqwdhxkhw/edit?usp=sharing"",""สระแก้ว!I474"")"),0)</f>
        <v>0</v>
      </c>
      <c r="J579" s="198">
        <f ca="1">IFERROR(__xludf.DUMMYFUNCTION("IMPORTRANGE(""https://docs.google.com/spreadsheets/d/1SX6NBoVAgQJ6U1MVXOaj8PK2l7WJ3RER9xtqwdhxkhw/edit?usp=sharing"",""สระแก้ว!J474"")"),0)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IFERROR(__xludf.DUMMYFUNCTION("IMPORTRANGE(""https://docs.google.com/spreadsheets/d/1SX6NBoVAgQJ6U1MVXOaj8PK2l7WJ3RER9xtqwdhxkhw/edit?usp=sharing"",""สระแก้ว!I475"")"),213)</f>
        <v>213</v>
      </c>
      <c r="J580" s="371">
        <f ca="1">IFERROR(__xludf.DUMMYFUNCTION("IMPORTRANGE(""https://docs.google.com/spreadsheets/d/1SX6NBoVAgQJ6U1MVXOaj8PK2l7WJ3RER9xtqwdhxkhw/edit?usp=sharing"",""สระแก้ว!J475"")"),1)</f>
        <v>1</v>
      </c>
      <c r="K580" s="372">
        <f ca="1">IF(I580&gt;0,J580*100/I580,0)</f>
        <v>0.46948356807511737</v>
      </c>
      <c r="L580" s="373">
        <f ca="1">IFERROR(__xludf.DUMMYFUNCTION("IMPORTRANGE(""https://docs.google.com/spreadsheets/d/1SX6NBoVAgQJ6U1MVXOaj8PK2l7WJ3RER9xtqwdhxkhw/edit?usp=sharing"",""สระแก้ว!L475"")"),384563)</f>
        <v>384563</v>
      </c>
      <c r="M580" s="373"/>
      <c r="N580" s="373">
        <f ca="1">IFERROR(__xludf.DUMMYFUNCTION("IMPORTRANGE(""https://docs.google.com/spreadsheets/d/1SX6NBoVAgQJ6U1MVXOaj8PK2l7WJ3RER9xtqwdhxkhw/edit?usp=sharing"",""สระแก้ว!M475"")"),144114.56)</f>
        <v>144114.56</v>
      </c>
      <c r="O580" s="373">
        <f t="shared" ref="O580:O584" ca="1" si="124">+IF(L580&gt;0,N580*100/L580,0)</f>
        <v>37.47488967997441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IFERROR(__xludf.DUMMYFUNCTION("IMPORTRANGE(""https://docs.google.com/spreadsheets/d/1SX6NBoVAgQJ6U1MVXOaj8PK2l7WJ3RER9xtqwdhxkhw/edit?usp=sharing"",""สระแก้ว!L476"")"),0)</f>
        <v>0</v>
      </c>
      <c r="M581" s="164"/>
      <c r="N581" s="169">
        <f ca="1">IFERROR(__xludf.DUMMYFUNCTION("IMPORTRANGE(""https://docs.google.com/spreadsheets/d/1SX6NBoVAgQJ6U1MVXOaj8PK2l7WJ3RER9xtqwdhxkhw/edit?usp=sharing"",""สระแก้ว!M476"")"),0)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IFERROR(__xludf.DUMMYFUNCTION("IMPORTRANGE(""https://docs.google.com/spreadsheets/d/1SX6NBoVAgQJ6U1MVXOaj8PK2l7WJ3RER9xtqwdhxkhw/edit?usp=sharing"",""สระแก้ว!L477"")"),384563)</f>
        <v>384563</v>
      </c>
      <c r="M582" s="165"/>
      <c r="N582" s="169">
        <f ca="1">IFERROR(__xludf.DUMMYFUNCTION("IMPORTRANGE(""https://docs.google.com/spreadsheets/d/1SX6NBoVAgQJ6U1MVXOaj8PK2l7WJ3RER9xtqwdhxkhw/edit?usp=sharing"",""สระแก้ว!M477"")"),144114.56)</f>
        <v>144114.56</v>
      </c>
      <c r="O582" s="169">
        <f t="shared" ca="1" si="124"/>
        <v>37.47488967997441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IFERROR(__xludf.DUMMYFUNCTION("IMPORTRANGE(""https://docs.google.com/spreadsheets/d/1SX6NBoVAgQJ6U1MVXOaj8PK2l7WJ3RER9xtqwdhxkhw/edit?usp=sharing"",""สระแก้ว!L478"")"),0)</f>
        <v>0</v>
      </c>
      <c r="M583" s="169"/>
      <c r="N583" s="169">
        <f ca="1">IFERROR(__xludf.DUMMYFUNCTION("IMPORTRANGE(""https://docs.google.com/spreadsheets/d/1SX6NBoVAgQJ6U1MVXOaj8PK2l7WJ3RER9xtqwdhxkhw/edit?usp=sharing"",""สระแก้ว!M478"")"),0)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IFERROR(__xludf.DUMMYFUNCTION("IMPORTRANGE(""https://docs.google.com/spreadsheets/d/1SX6NBoVAgQJ6U1MVXOaj8PK2l7WJ3RER9xtqwdhxkhw/edit?usp=sharing"",""สระแก้ว!L479"")"),384563)</f>
        <v>384563</v>
      </c>
      <c r="M584" s="169"/>
      <c r="N584" s="169">
        <f ca="1">IFERROR(__xludf.DUMMYFUNCTION("IMPORTRANGE(""https://docs.google.com/spreadsheets/d/1SX6NBoVAgQJ6U1MVXOaj8PK2l7WJ3RER9xtqwdhxkhw/edit?usp=sharing"",""สระแก้ว!M479"")"),144114.56)</f>
        <v>144114.56</v>
      </c>
      <c r="O584" s="169">
        <f t="shared" ca="1" si="124"/>
        <v>37.47488967997441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IFERROR(__xludf.DUMMYFUNCTION("IMPORTRANGE(""https://docs.google.com/spreadsheets/d/1SX6NBoVAgQJ6U1MVXOaj8PK2l7WJ3RER9xtqwdhxkhw/edit?usp=sharing"",""สระแก้ว!M480"")"),0)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IFERROR(__xludf.DUMMYFUNCTION("IMPORTRANGE(""https://docs.google.com/spreadsheets/d/1SX6NBoVAgQJ6U1MVXOaj8PK2l7WJ3RER9xtqwdhxkhw/edit?usp=sharing"",""สระแก้ว!M481"")"),0)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IFERROR(__xludf.DUMMYFUNCTION("IMPORTRANGE(""https://docs.google.com/spreadsheets/d/1SX6NBoVAgQJ6U1MVXOaj8PK2l7WJ3RER9xtqwdhxkhw/edit?usp=sharing"",""สระแก้ว!M482"")"),100034.56)</f>
        <v>100034.56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IFERROR(__xludf.DUMMYFUNCTION("IMPORTRANGE(""https://docs.google.com/spreadsheets/d/1SX6NBoVAgQJ6U1MVXOaj8PK2l7WJ3RER9xtqwdhxkhw/edit?usp=sharing"",""สระแก้ว!M483"")"),44080)</f>
        <v>44080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IFERROR(__xludf.DUMMYFUNCTION("IMPORTRANGE(""https://docs.google.com/spreadsheets/d/1SX6NBoVAgQJ6U1MVXOaj8PK2l7WJ3RER9xtqwdhxkhw/edit?usp=sharing"",""สระแก้ว!I484"")"),213)</f>
        <v>213</v>
      </c>
      <c r="J589" s="188">
        <f ca="1">IFERROR(__xludf.DUMMYFUNCTION("IMPORTRANGE(""https://docs.google.com/spreadsheets/d/1SX6NBoVAgQJ6U1MVXOaj8PK2l7WJ3RER9xtqwdhxkhw/edit?usp=sharing"",""สระแก้ว!J484"")"),53)</f>
        <v>53</v>
      </c>
      <c r="K589" s="163">
        <f t="shared" ref="K589:K596" ca="1" si="125">IF(I589&gt;0,J589*100/I589,0)</f>
        <v>24.88262910798122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IFERROR(__xludf.DUMMYFUNCTION("IMPORTRANGE(""https://docs.google.com/spreadsheets/d/1SX6NBoVAgQJ6U1MVXOaj8PK2l7WJ3RER9xtqwdhxkhw/edit?usp=sharing"",""สระแก้ว!I485"")"),0)</f>
        <v>0</v>
      </c>
      <c r="J590" s="188">
        <f ca="1">IFERROR(__xludf.DUMMYFUNCTION("IMPORTRANGE(""https://docs.google.com/spreadsheets/d/1SX6NBoVAgQJ6U1MVXOaj8PK2l7WJ3RER9xtqwdhxkhw/edit?usp=sharing"",""สระแก้ว!J485"")"),48.64)</f>
        <v>48.64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IFERROR(__xludf.DUMMYFUNCTION("IMPORTRANGE(""https://docs.google.com/spreadsheets/d/1SX6NBoVAgQJ6U1MVXOaj8PK2l7WJ3RER9xtqwdhxkhw/edit?usp=sharing"",""สระแก้ว!I486"")"),213)</f>
        <v>213</v>
      </c>
      <c r="J591" s="188">
        <f ca="1">IFERROR(__xludf.DUMMYFUNCTION("IMPORTRANGE(""https://docs.google.com/spreadsheets/d/1SX6NBoVAgQJ6U1MVXOaj8PK2l7WJ3RER9xtqwdhxkhw/edit?usp=sharing"",""สระแก้ว!J486"")"),2)</f>
        <v>2</v>
      </c>
      <c r="K591" s="163">
        <f t="shared" ca="1" si="125"/>
        <v>0.93896713615023475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IFERROR(__xludf.DUMMYFUNCTION("IMPORTRANGE(""https://docs.google.com/spreadsheets/d/1SX6NBoVAgQJ6U1MVXOaj8PK2l7WJ3RER9xtqwdhxkhw/edit?usp=sharing"",""สระแก้ว!I487"")"),0)</f>
        <v>0</v>
      </c>
      <c r="J592" s="188">
        <f ca="1">IFERROR(__xludf.DUMMYFUNCTION("IMPORTRANGE(""https://docs.google.com/spreadsheets/d/1SX6NBoVAgQJ6U1MVXOaj8PK2l7WJ3RER9xtqwdhxkhw/edit?usp=sharing"",""สระแก้ว!J487"")"),1.03)</f>
        <v>1.03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IFERROR(__xludf.DUMMYFUNCTION("IMPORTRANGE(""https://docs.google.com/spreadsheets/d/1SX6NBoVAgQJ6U1MVXOaj8PK2l7WJ3RER9xtqwdhxkhw/edit?usp=sharing"",""สระแก้ว!I488"")"),213)</f>
        <v>213</v>
      </c>
      <c r="J593" s="188">
        <f ca="1">IFERROR(__xludf.DUMMYFUNCTION("IMPORTRANGE(""https://docs.google.com/spreadsheets/d/1SX6NBoVAgQJ6U1MVXOaj8PK2l7WJ3RER9xtqwdhxkhw/edit?usp=sharing"",""สระแก้ว!J488"")"),0)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IFERROR(__xludf.DUMMYFUNCTION("IMPORTRANGE(""https://docs.google.com/spreadsheets/d/1SX6NBoVAgQJ6U1MVXOaj8PK2l7WJ3RER9xtqwdhxkhw/edit?usp=sharing"",""สระแก้ว!I489"")"),0)</f>
        <v>0</v>
      </c>
      <c r="J594" s="188">
        <f ca="1">IFERROR(__xludf.DUMMYFUNCTION("IMPORTRANGE(""https://docs.google.com/spreadsheets/d/1SX6NBoVAgQJ6U1MVXOaj8PK2l7WJ3RER9xtqwdhxkhw/edit?usp=sharing"",""สระแก้ว!J489"")"),0)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IFERROR(__xludf.DUMMYFUNCTION("IMPORTRANGE(""https://docs.google.com/spreadsheets/d/1SX6NBoVAgQJ6U1MVXOaj8PK2l7WJ3RER9xtqwdhxkhw/edit?usp=sharing"",""สระแก้ว!I490"")"),213)</f>
        <v>213</v>
      </c>
      <c r="J595" s="188">
        <f ca="1">IFERROR(__xludf.DUMMYFUNCTION("IMPORTRANGE(""https://docs.google.com/spreadsheets/d/1SX6NBoVAgQJ6U1MVXOaj8PK2l7WJ3RER9xtqwdhxkhw/edit?usp=sharing"",""สระแก้ว!J490"")"),1)</f>
        <v>1</v>
      </c>
      <c r="K595" s="163">
        <f t="shared" ca="1" si="125"/>
        <v>0.46948356807511737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IFERROR(__xludf.DUMMYFUNCTION("IMPORTRANGE(""https://docs.google.com/spreadsheets/d/1SX6NBoVAgQJ6U1MVXOaj8PK2l7WJ3RER9xtqwdhxkhw/edit?usp=sharing"",""สระแก้ว!I491"")"),0)</f>
        <v>0</v>
      </c>
      <c r="J596" s="242">
        <f ca="1">IFERROR(__xludf.DUMMYFUNCTION("IMPORTRANGE(""https://docs.google.com/spreadsheets/d/1SX6NBoVAgQJ6U1MVXOaj8PK2l7WJ3RER9xtqwdhxkhw/edit?usp=sharing"",""สระแก้ว!J491"")"),0.66)</f>
        <v>0.66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IFERROR(__xludf.DUMMYFUNCTION("IMPORTRANGE(""https://docs.google.com/spreadsheets/d/1SX6NBoVAgQJ6U1MVXOaj8PK2l7WJ3RER9xtqwdhxkhw/edit?usp=sharing"",""สระแก้ว!I492"")"),100)</f>
        <v>100</v>
      </c>
      <c r="J597" s="488">
        <f ca="1">IFERROR(__xludf.DUMMYFUNCTION("IMPORTRANGE(""https://docs.google.com/spreadsheets/d/1SX6NBoVAgQJ6U1MVXOaj8PK2l7WJ3RER9xtqwdhxkhw/edit?usp=sharing"",""สระแก้ว!J492"")"),0)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IFERROR(__xludf.DUMMYFUNCTION("IMPORTRANGE(""https://docs.google.com/spreadsheets/d/1SX6NBoVAgQJ6U1MVXOaj8PK2l7WJ3RER9xtqwdhxkhw/edit?usp=sharing"",""สระแก้ว!L492"")"),12900)</f>
        <v>12900</v>
      </c>
      <c r="M597" s="412"/>
      <c r="N597" s="412">
        <f ca="1">IFERROR(__xludf.DUMMYFUNCTION("IMPORTRANGE(""https://docs.google.com/spreadsheets/d/1SX6NBoVAgQJ6U1MVXOaj8PK2l7WJ3RER9xtqwdhxkhw/edit?usp=sharing"",""สระแก้ว!M492"")"),7400)</f>
        <v>7400</v>
      </c>
      <c r="O597" s="412">
        <f t="shared" ref="O597:O601" ca="1" si="126">+IF(L597&gt;0,N597*100/L597,0)</f>
        <v>57.36434108527132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IFERROR(__xludf.DUMMYFUNCTION("IMPORTRANGE(""https://docs.google.com/spreadsheets/d/1SX6NBoVAgQJ6U1MVXOaj8PK2l7WJ3RER9xtqwdhxkhw/edit?usp=sharing"",""สระแก้ว!L493"")"),0)</f>
        <v>0</v>
      </c>
      <c r="M598" s="164"/>
      <c r="N598" s="169">
        <f ca="1">IFERROR(__xludf.DUMMYFUNCTION("IMPORTRANGE(""https://docs.google.com/spreadsheets/d/1SX6NBoVAgQJ6U1MVXOaj8PK2l7WJ3RER9xtqwdhxkhw/edit?usp=sharing"",""สระแก้ว!M493"")"),0)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IFERROR(__xludf.DUMMYFUNCTION("IMPORTRANGE(""https://docs.google.com/spreadsheets/d/1SX6NBoVAgQJ6U1MVXOaj8PK2l7WJ3RER9xtqwdhxkhw/edit?usp=sharing"",""สระแก้ว!L494"")"),12900)</f>
        <v>12900</v>
      </c>
      <c r="M599" s="165"/>
      <c r="N599" s="169">
        <f ca="1">IFERROR(__xludf.DUMMYFUNCTION("IMPORTRANGE(""https://docs.google.com/spreadsheets/d/1SX6NBoVAgQJ6U1MVXOaj8PK2l7WJ3RER9xtqwdhxkhw/edit?usp=sharing"",""สระแก้ว!M494"")"),7400)</f>
        <v>7400</v>
      </c>
      <c r="O599" s="169">
        <f t="shared" ca="1" si="126"/>
        <v>57.36434108527132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IFERROR(__xludf.DUMMYFUNCTION("IMPORTRANGE(""https://docs.google.com/spreadsheets/d/1SX6NBoVAgQJ6U1MVXOaj8PK2l7WJ3RER9xtqwdhxkhw/edit?usp=sharing"",""สระแก้ว!L495"")"),0)</f>
        <v>0</v>
      </c>
      <c r="M600" s="169"/>
      <c r="N600" s="169">
        <f ca="1">IFERROR(__xludf.DUMMYFUNCTION("IMPORTRANGE(""https://docs.google.com/spreadsheets/d/1SX6NBoVAgQJ6U1MVXOaj8PK2l7WJ3RER9xtqwdhxkhw/edit?usp=sharing"",""สระแก้ว!M495"")"),0)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IFERROR(__xludf.DUMMYFUNCTION("IMPORTRANGE(""https://docs.google.com/spreadsheets/d/1SX6NBoVAgQJ6U1MVXOaj8PK2l7WJ3RER9xtqwdhxkhw/edit?usp=sharing"",""สระแก้ว!L496"")"),12900)</f>
        <v>12900</v>
      </c>
      <c r="M601" s="169"/>
      <c r="N601" s="169">
        <f ca="1">IFERROR(__xludf.DUMMYFUNCTION("IMPORTRANGE(""https://docs.google.com/spreadsheets/d/1SX6NBoVAgQJ6U1MVXOaj8PK2l7WJ3RER9xtqwdhxkhw/edit?usp=sharing"",""สระแก้ว!M496"")"),7400)</f>
        <v>7400</v>
      </c>
      <c r="O601" s="169">
        <f t="shared" ca="1" si="126"/>
        <v>57.36434108527132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IFERROR(__xludf.DUMMYFUNCTION("IMPORTRANGE(""https://docs.google.com/spreadsheets/d/1SX6NBoVAgQJ6U1MVXOaj8PK2l7WJ3RER9xtqwdhxkhw/edit?usp=sharing"",""สระแก้ว!M497"")"),0)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IFERROR(__xludf.DUMMYFUNCTION("IMPORTRANGE(""https://docs.google.com/spreadsheets/d/1SX6NBoVAgQJ6U1MVXOaj8PK2l7WJ3RER9xtqwdhxkhw/edit?usp=sharing"",""สระแก้ว!M498"")"),0)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IFERROR(__xludf.DUMMYFUNCTION("IMPORTRANGE(""https://docs.google.com/spreadsheets/d/1SX6NBoVAgQJ6U1MVXOaj8PK2l7WJ3RER9xtqwdhxkhw/edit?usp=sharing"",""สระแก้ว!M499"")"),3600)</f>
        <v>3600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IFERROR(__xludf.DUMMYFUNCTION("IMPORTRANGE(""https://docs.google.com/spreadsheets/d/1SX6NBoVAgQJ6U1MVXOaj8PK2l7WJ3RER9xtqwdhxkhw/edit?usp=sharing"",""สระแก้ว!M500"")"),3800)</f>
        <v>3800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IFERROR(__xludf.DUMMYFUNCTION("IMPORTRANGE(""https://docs.google.com/spreadsheets/d/1SX6NBoVAgQJ6U1MVXOaj8PK2l7WJ3RER9xtqwdhxkhw/edit?usp=sharing"",""สระแก้ว!J502"")"),0)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IFERROR(__xludf.DUMMYFUNCTION("IMPORTRANGE(""https://docs.google.com/spreadsheets/d/1SX6NBoVAgQJ6U1MVXOaj8PK2l7WJ3RER9xtqwdhxkhw/edit?usp=sharing"",""สระแก้ว!J503"")"),1)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IFERROR(__xludf.DUMMYFUNCTION("IMPORTRANGE(""https://docs.google.com/spreadsheets/d/1SX6NBoVAgQJ6U1MVXOaj8PK2l7WJ3RER9xtqwdhxkhw/edit?usp=sharing"",""สระแก้ว!J166"")"),0)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IFERROR(__xludf.DUMMYFUNCTION("IMPORTRANGE(""https://docs.google.com/spreadsheets/d/1SX6NBoVAgQJ6U1MVXOaj8PK2l7WJ3RER9xtqwdhxkhw/edit?usp=sharing"",""สระแก้ว!J166"")"),0)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IFERROR(__xludf.DUMMYFUNCTION("IMPORTRANGE(""https://docs.google.com/spreadsheets/d/1SX6NBoVAgQJ6U1MVXOaj8PK2l7WJ3RER9xtqwdhxkhw/edit?usp=sharing"",""สระแก้ว!I506"")"),100)</f>
        <v>100</v>
      </c>
      <c r="J611" s="162">
        <f ca="1">IFERROR(__xludf.DUMMYFUNCTION("IMPORTRANGE(""https://docs.google.com/spreadsheets/d/1SX6NBoVAgQJ6U1MVXOaj8PK2l7WJ3RER9xtqwdhxkhw/edit?usp=sharing"",""สระแก้ว!J506"")"),0)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IFERROR(__xludf.DUMMYFUNCTION("IMPORTRANGE(""https://docs.google.com/spreadsheets/d/1SX6NBoVAgQJ6U1MVXOaj8PK2l7WJ3RER9xtqwdhxkhw/edit?usp=sharing"",""สระแก้ว!I507"")"),0)</f>
        <v>0</v>
      </c>
      <c r="J612" s="198">
        <f ca="1">IFERROR(__xludf.DUMMYFUNCTION("IMPORTRANGE(""https://docs.google.com/spreadsheets/d/1SX6NBoVAgQJ6U1MVXOaj8PK2l7WJ3RER9xtqwdhxkhw/edit?usp=sharing"",""สระแก้ว!J507"")"),815)</f>
        <v>815</v>
      </c>
      <c r="K612" s="163">
        <f t="shared" ca="1" si="127"/>
        <v>815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IFERROR(__xludf.DUMMYFUNCTION("IMPORTRANGE(""https://docs.google.com/spreadsheets/d/1SX6NBoVAgQJ6U1MVXOaj8PK2l7WJ3RER9xtqwdhxkhw/edit?usp=sharing"",""สระแก้ว!I508"")"),0)</f>
        <v>0</v>
      </c>
      <c r="J613" s="198">
        <f ca="1">IFERROR(__xludf.DUMMYFUNCTION("IMPORTRANGE(""https://docs.google.com/spreadsheets/d/1SX6NBoVAgQJ6U1MVXOaj8PK2l7WJ3RER9xtqwdhxkhw/edit?usp=sharing"",""สระแก้ว!J508"")"),815)</f>
        <v>815</v>
      </c>
      <c r="K613" s="163">
        <f t="shared" ca="1" si="127"/>
        <v>815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IFERROR(__xludf.DUMMYFUNCTION("IMPORTRANGE(""https://docs.google.com/spreadsheets/d/1SX6NBoVAgQJ6U1MVXOaj8PK2l7WJ3RER9xtqwdhxkhw/edit?usp=sharing"",""สระแก้ว!I509"")"),0)</f>
        <v>0</v>
      </c>
      <c r="J614" s="198">
        <f ca="1">IFERROR(__xludf.DUMMYFUNCTION("IMPORTRANGE(""https://docs.google.com/spreadsheets/d/1SX6NBoVAgQJ6U1MVXOaj8PK2l7WJ3RER9xtqwdhxkhw/edit?usp=sharing"",""สระแก้ว!J509"")"),0)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IFERROR(__xludf.DUMMYFUNCTION("IMPORTRANGE(""https://docs.google.com/spreadsheets/d/1SX6NBoVAgQJ6U1MVXOaj8PK2l7WJ3RER9xtqwdhxkhw/edit?usp=sharing"",""สระแก้ว!I510"")"),0)</f>
        <v>0</v>
      </c>
      <c r="J615" s="198">
        <f ca="1">IFERROR(__xludf.DUMMYFUNCTION("IMPORTRANGE(""https://docs.google.com/spreadsheets/d/1SX6NBoVAgQJ6U1MVXOaj8PK2l7WJ3RER9xtqwdhxkhw/edit?usp=sharing"",""สระแก้ว!J510"")"),0)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IFERROR(__xludf.DUMMYFUNCTION("IMPORTRANGE(""https://docs.google.com/spreadsheets/d/1SX6NBoVAgQJ6U1MVXOaj8PK2l7WJ3RER9xtqwdhxkhw/edit?usp=sharing"",""สระแก้ว!I511"")"),0)</f>
        <v>0</v>
      </c>
      <c r="J616" s="198">
        <f ca="1">IFERROR(__xludf.DUMMYFUNCTION("IMPORTRANGE(""https://docs.google.com/spreadsheets/d/1SX6NBoVAgQJ6U1MVXOaj8PK2l7WJ3RER9xtqwdhxkhw/edit?usp=sharing"",""สระแก้ว!J511"")"),0)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IFERROR(__xludf.DUMMYFUNCTION("IMPORTRANGE(""https://docs.google.com/spreadsheets/d/1SX6NBoVAgQJ6U1MVXOaj8PK2l7WJ3RER9xtqwdhxkhw/edit?usp=sharing"",""สระแก้ว!I512"")"),0)</f>
        <v>0</v>
      </c>
      <c r="J617" s="188">
        <f ca="1">IFERROR(__xludf.DUMMYFUNCTION("IMPORTRANGE(""https://docs.google.com/spreadsheets/d/1SX6NBoVAgQJ6U1MVXOaj8PK2l7WJ3RER9xtqwdhxkhw/edit?usp=sharing"",""สระแก้ว!J512"")"),0)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IFERROR(__xludf.DUMMYFUNCTION("IMPORTRANGE(""https://docs.google.com/spreadsheets/d/1SX6NBoVAgQJ6U1MVXOaj8PK2l7WJ3RER9xtqwdhxkhw/edit?usp=sharing"",""สระแก้ว!I513"")"),0)</f>
        <v>0</v>
      </c>
      <c r="J618" s="189">
        <f ca="1">IFERROR(__xludf.DUMMYFUNCTION("IMPORTRANGE(""https://docs.google.com/spreadsheets/d/1SX6NBoVAgQJ6U1MVXOaj8PK2l7WJ3RER9xtqwdhxkhw/edit?usp=sharing"",""สระแก้ว!J513"")"),0)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IFERROR(__xludf.DUMMYFUNCTION("IMPORTRANGE(""https://docs.google.com/spreadsheets/d/1SX6NBoVAgQJ6U1MVXOaj8PK2l7WJ3RER9xtqwdhxkhw/edit?usp=sharing"",""สระแก้ว!I514"")"),0)</f>
        <v>0</v>
      </c>
      <c r="J619" s="189">
        <f ca="1">IFERROR(__xludf.DUMMYFUNCTION("IMPORTRANGE(""https://docs.google.com/spreadsheets/d/1SX6NBoVAgQJ6U1MVXOaj8PK2l7WJ3RER9xtqwdhxkhw/edit?usp=sharing"",""สระแก้ว!J514"")"),0)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IFERROR(__xludf.DUMMYFUNCTION("IMPORTRANGE(""https://docs.google.com/spreadsheets/d/1SX6NBoVAgQJ6U1MVXOaj8PK2l7WJ3RER9xtqwdhxkhw/edit?usp=sharing"",""สระแก้ว!I515"")"),0)</f>
        <v>0</v>
      </c>
      <c r="J620" s="203">
        <f ca="1">IFERROR(__xludf.DUMMYFUNCTION("IMPORTRANGE(""https://docs.google.com/spreadsheets/d/1SX6NBoVAgQJ6U1MVXOaj8PK2l7WJ3RER9xtqwdhxkhw/edit?usp=sharing"",""สระแก้ว!J515"")"),0)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IFERROR(__xludf.DUMMYFUNCTION("IMPORTRANGE(""https://docs.google.com/spreadsheets/d/1SX6NBoVAgQJ6U1MVXOaj8PK2l7WJ3RER9xtqwdhxkhw/edit?usp=sharing"",""สระแก้ว!I516"")"),0)</f>
        <v>0</v>
      </c>
      <c r="J621" s="203">
        <f ca="1">IFERROR(__xludf.DUMMYFUNCTION("IMPORTRANGE(""https://docs.google.com/spreadsheets/d/1SX6NBoVAgQJ6U1MVXOaj8PK2l7WJ3RER9xtqwdhxkhw/edit?usp=sharing"",""สระแก้ว!J516"")"),0)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IFERROR(__xludf.DUMMYFUNCTION("IMPORTRANGE(""https://docs.google.com/spreadsheets/d/1SX6NBoVAgQJ6U1MVXOaj8PK2l7WJ3RER9xtqwdhxkhw/edit?usp=sharing"",""สระแก้ว!I517"")"),0)</f>
        <v>0</v>
      </c>
      <c r="J622" s="189">
        <f ca="1">IFERROR(__xludf.DUMMYFUNCTION("IMPORTRANGE(""https://docs.google.com/spreadsheets/d/1SX6NBoVAgQJ6U1MVXOaj8PK2l7WJ3RER9xtqwdhxkhw/edit?usp=sharing"",""สระแก้ว!J517"")"),0)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IFERROR(__xludf.DUMMYFUNCTION("IMPORTRANGE(""https://docs.google.com/spreadsheets/d/1SX6NBoVAgQJ6U1MVXOaj8PK2l7WJ3RER9xtqwdhxkhw/edit?usp=sharing"",""สระแก้ว!I518"")"),0)</f>
        <v>0</v>
      </c>
      <c r="J623" s="189">
        <f ca="1">IFERROR(__xludf.DUMMYFUNCTION("IMPORTRANGE(""https://docs.google.com/spreadsheets/d/1SX6NBoVAgQJ6U1MVXOaj8PK2l7WJ3RER9xtqwdhxkhw/edit?usp=sharing"",""สระแก้ว!J518"")"),0)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IFERROR(__xludf.DUMMYFUNCTION("IMPORTRANGE(""https://docs.google.com/spreadsheets/d/1SX6NBoVAgQJ6U1MVXOaj8PK2l7WJ3RER9xtqwdhxkhw/edit?usp=sharing"",""สระแก้ว!I519"")"),0)</f>
        <v>0</v>
      </c>
      <c r="J624" s="188">
        <f ca="1">IFERROR(__xludf.DUMMYFUNCTION("IMPORTRANGE(""https://docs.google.com/spreadsheets/d/1SX6NBoVAgQJ6U1MVXOaj8PK2l7WJ3RER9xtqwdhxkhw/edit?usp=sharing"",""สระแก้ว!J519"")"),0)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IFERROR(__xludf.DUMMYFUNCTION("IMPORTRANGE(""https://docs.google.com/spreadsheets/d/1SX6NBoVAgQJ6U1MVXOaj8PK2l7WJ3RER9xtqwdhxkhw/edit?usp=sharing"",""สระแก้ว!I520"")"),0)</f>
        <v>0</v>
      </c>
      <c r="J625" s="189">
        <f ca="1">IFERROR(__xludf.DUMMYFUNCTION("IMPORTRANGE(""https://docs.google.com/spreadsheets/d/1SX6NBoVAgQJ6U1MVXOaj8PK2l7WJ3RER9xtqwdhxkhw/edit?usp=sharing"",""สระแก้ว!J520"")"),0)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IFERROR(__xludf.DUMMYFUNCTION("IMPORTRANGE(""https://docs.google.com/spreadsheets/d/1SX6NBoVAgQJ6U1MVXOaj8PK2l7WJ3RER9xtqwdhxkhw/edit?usp=sharing"",""สระแก้ว!I521"")"),0)</f>
        <v>0</v>
      </c>
      <c r="J626" s="189">
        <f ca="1">IFERROR(__xludf.DUMMYFUNCTION("IMPORTRANGE(""https://docs.google.com/spreadsheets/d/1SX6NBoVAgQJ6U1MVXOaj8PK2l7WJ3RER9xtqwdhxkhw/edit?usp=sharing"",""สระแก้ว!J521"")"),0)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2">
        <f ca="1">IFERROR(__xludf.DUMMYFUNCTION("IMPORTRANGE(""https://docs.google.com/spreadsheets/d/1SX6NBoVAgQJ6U1MVXOaj8PK2l7WJ3RER9xtqwdhxkhw/edit?usp=sharing"",""สระแก้ว!J523"")"),8169964.29)</f>
        <v>8169964.29</v>
      </c>
      <c r="K628" s="343">
        <f t="shared" ref="K628:K635" ca="1" si="129">IF(I628&gt;0,J628*100/I628,0)</f>
        <v>99.238386149838675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IFERROR(__xludf.DUMMYFUNCTION("IMPORTRANGE(""https://docs.google.com/spreadsheets/d/1SX6NBoVAgQJ6U1MVXOaj8PK2l7WJ3RER9xtqwdhxkhw/edit?usp=sharing"",""สระแก้ว!I524"")"),586)</f>
        <v>586</v>
      </c>
      <c r="J629" s="342">
        <f ca="1">IFERROR(__xludf.DUMMYFUNCTION("IMPORTRANGE(""https://docs.google.com/spreadsheets/d/1SX6NBoVAgQJ6U1MVXOaj8PK2l7WJ3RER9xtqwdhxkhw/edit?usp=sharing"",""สระแก้ว!J524"")"),534)</f>
        <v>534</v>
      </c>
      <c r="K629" s="343">
        <f t="shared" ca="1" si="129"/>
        <v>91.12627986348123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2">
        <f ca="1">IFERROR(__xludf.DUMMYFUNCTION("IMPORTRANGE(""https://docs.google.com/spreadsheets/d/1SX6NBoVAgQJ6U1MVXOaj8PK2l7WJ3RER9xtqwdhxkhw/edit?usp=sharing"",""สระแก้ว!J525"")"),2228277.57)</f>
        <v>2228277.5699999998</v>
      </c>
      <c r="K630" s="343">
        <f t="shared" ca="1" si="129"/>
        <v>41.269962023918417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IFERROR(__xludf.DUMMYFUNCTION("IMPORTRANGE(""https://docs.google.com/spreadsheets/d/1SX6NBoVAgQJ6U1MVXOaj8PK2l7WJ3RER9xtqwdhxkhw/edit?usp=sharing"",""สระแก้ว!I526"")"),242)</f>
        <v>242</v>
      </c>
      <c r="J631" s="342">
        <f ca="1">IFERROR(__xludf.DUMMYFUNCTION("IMPORTRANGE(""https://docs.google.com/spreadsheets/d/1SX6NBoVAgQJ6U1MVXOaj8PK2l7WJ3RER9xtqwdhxkhw/edit?usp=sharing"",""สระแก้ว!J526"")"),226)</f>
        <v>226</v>
      </c>
      <c r="K631" s="343">
        <f t="shared" ca="1" si="129"/>
        <v>93.388429752066116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IFERROR(__xludf.DUMMYFUNCTION("IMPORTRANGE(""https://docs.google.com/spreadsheets/d/1SX6NBoVAgQJ6U1MVXOaj8PK2l7WJ3RER9xtqwdhxkhw/edit?usp=sharing"",""สระแก้ว!I527"")"),0)</f>
        <v>0</v>
      </c>
      <c r="J632" s="342">
        <f ca="1">IFERROR(__xludf.DUMMYFUNCTION("IMPORTRANGE(""https://docs.google.com/spreadsheets/d/1SX6NBoVAgQJ6U1MVXOaj8PK2l7WJ3RER9xtqwdhxkhw/edit?usp=sharing"",""สระแก้ว!J527"")"),172066.23)</f>
        <v>172066.23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IFERROR(__xludf.DUMMYFUNCTION("IMPORTRANGE(""https://docs.google.com/spreadsheets/d/1SX6NBoVAgQJ6U1MVXOaj8PK2l7WJ3RER9xtqwdhxkhw/edit?usp=sharing"",""สระแก้ว!I528"")"),0)</f>
        <v>0</v>
      </c>
      <c r="J633" s="342">
        <f ca="1">IFERROR(__xludf.DUMMYFUNCTION("IMPORTRANGE(""https://docs.google.com/spreadsheets/d/1SX6NBoVAgQJ6U1MVXOaj8PK2l7WJ3RER9xtqwdhxkhw/edit?usp=sharing"",""สระแก้ว!J528"")"),5)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IFERROR(__xludf.DUMMYFUNCTION("IMPORTRANGE(""https://docs.google.com/spreadsheets/d/1SX6NBoVAgQJ6U1MVXOaj8PK2l7WJ3RER9xtqwdhxkhw/edit?usp=sharing"",""สระแก้ว!I529"")"),10000000)</f>
        <v>10000000</v>
      </c>
      <c r="J634" s="342">
        <f ca="1">IFERROR(__xludf.DUMMYFUNCTION("IMPORTRANGE(""https://docs.google.com/spreadsheets/d/1SX6NBoVAgQJ6U1MVXOaj8PK2l7WJ3RER9xtqwdhxkhw/edit?usp=sharing"",""สระแก้ว!J529"")"),5240000)</f>
        <v>5240000</v>
      </c>
      <c r="K634" s="343">
        <f t="shared" ca="1" si="129"/>
        <v>52.4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IFERROR(__xludf.DUMMYFUNCTION("IMPORTRANGE(""https://docs.google.com/spreadsheets/d/1SX6NBoVAgQJ6U1MVXOaj8PK2l7WJ3RER9xtqwdhxkhw/edit?usp=sharing"",""สระแก้ว!I530"")"),250)</f>
        <v>250</v>
      </c>
      <c r="J635" s="505">
        <f ca="1">IFERROR(__xludf.DUMMYFUNCTION("IMPORTRANGE(""https://docs.google.com/spreadsheets/d/1SX6NBoVAgQJ6U1MVXOaj8PK2l7WJ3RER9xtqwdhxkhw/edit?usp=sharing"",""สระแก้ว!J530"")"),129)</f>
        <v>129</v>
      </c>
      <c r="K635" s="487">
        <f t="shared" ca="1" si="129"/>
        <v>51.6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IFERROR(__xludf.DUMMYFUNCTION("IMPORTRANGE(""https://docs.google.com/spreadsheets/d/1SX6NBoVAgQJ6U1MVXOaj8PK2l7WJ3RER9xtqwdhxkhw/edit#gid=346597447"",""สระแก้ว!J541"")"),0)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IFERROR(__xludf.DUMMYFUNCTION("IMPORTRANGE(""https://docs.google.com/spreadsheets/d/1SX6NBoVAgQJ6U1MVXOaj8PK2l7WJ3RER9xtqwdhxkhw/edit#gid=346597447"",""สระแก้ว!J542"")"),0)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IFERROR(__xludf.DUMMYFUNCTION("IMPORTRANGE(""https://docs.google.com/spreadsheets/d/1SX6NBoVAgQJ6U1MVXOaj8PK2l7WJ3RER9xtqwdhxkhw/edit#gid=346597447"",""สระแก้ว!I543"")"),0)</f>
        <v>0</v>
      </c>
      <c r="J648" s="537">
        <f ca="1">IFERROR(__xludf.DUMMYFUNCTION("IMPORTRANGE(""https://docs.google.com/spreadsheets/d/1SX6NBoVAgQJ6U1MVXOaj8PK2l7WJ3RER9xtqwdhxkhw/edit#gid=346597447"",""สระแก้ว!J543"")"),0)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IFERROR(__xludf.DUMMYFUNCTION("IMPORTRANGE(""https://docs.google.com/spreadsheets/d/1SX6NBoVAgQJ6U1MVXOaj8PK2l7WJ3RER9xtqwdhxkhw/edit#gid=346597447"",""สระแก้ว!L543"")"),0)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IFERROR(__xludf.DUMMYFUNCTION("IMPORTRANGE(""https://docs.google.com/spreadsheets/d/1SX6NBoVAgQJ6U1MVXOaj8PK2l7WJ3RER9xtqwdhxkhw/edit#gid=346597447"",""สระแก้ว!M543"")"),0)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IFERROR(__xludf.DUMMYFUNCTION("IMPORTRANGE(""https://docs.google.com/spreadsheets/d/1SX6NBoVAgQJ6U1MVXOaj8PK2l7WJ3RER9xtqwdhxkhw/edit#gid=346597447"",""สระแก้ว!I544"")"),0)</f>
        <v>0</v>
      </c>
      <c r="J649" s="537">
        <f ca="1">IFERROR(__xludf.DUMMYFUNCTION("IMPORTRANGE(""https://docs.google.com/spreadsheets/d/1SX6NBoVAgQJ6U1MVXOaj8PK2l7WJ3RER9xtqwdhxkhw/edit#gid=346597447"",""สระแก้ว!J544"")"),0)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IFERROR(__xludf.DUMMYFUNCTION("IMPORTRANGE(""https://docs.google.com/spreadsheets/d/1SX6NBoVAgQJ6U1MVXOaj8PK2l7WJ3RER9xtqwdhxkhw/edit#gid=346597447"",""สระแก้ว!L544"")"),0)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IFERROR(__xludf.DUMMYFUNCTION("IMPORTRANGE(""https://docs.google.com/spreadsheets/d/1SX6NBoVAgQJ6U1MVXOaj8PK2l7WJ3RER9xtqwdhxkhw/edit#gid=346597447"",""สระแก้ว!M544"")"),0)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IFERROR(__xludf.DUMMYFUNCTION("IMPORTRANGE(""https://docs.google.com/spreadsheets/d/1SX6NBoVAgQJ6U1MVXOaj8PK2l7WJ3RER9xtqwdhxkhw/edit#gid=346597447"",""สระแก้ว!I545"")"),0)</f>
        <v>0</v>
      </c>
      <c r="J650" s="537">
        <f ca="1">IFERROR(__xludf.DUMMYFUNCTION("IMPORTRANGE(""https://docs.google.com/spreadsheets/d/1SX6NBoVAgQJ6U1MVXOaj8PK2l7WJ3RER9xtqwdhxkhw/edit#gid=346597447"",""สระแก้ว!J545"")"),0)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IFERROR(__xludf.DUMMYFUNCTION("IMPORTRANGE(""https://docs.google.com/spreadsheets/d/1SX6NBoVAgQJ6U1MVXOaj8PK2l7WJ3RER9xtqwdhxkhw/edit#gid=346597447"",""สระแก้ว!L545"")"),0)</f>
        <v>0</v>
      </c>
      <c r="M650" s="522"/>
      <c r="N650" s="539">
        <f ca="1">IFERROR(__xludf.DUMMYFUNCTION("IMPORTRANGE(""https://docs.google.com/spreadsheets/d/1SX6NBoVAgQJ6U1MVXOaj8PK2l7WJ3RER9xtqwdhxkhw/edit#gid=346597447"",""สระแก้ว!M545"")"),0)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IFERROR(__xludf.DUMMYFUNCTION("IMPORTRANGE(""https://docs.google.com/spreadsheets/d/1SX6NBoVAgQJ6U1MVXOaj8PK2l7WJ3RER9xtqwdhxkhw/edit#gid=346597447"",""สระแก้ว!I546"")"),0)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IFERROR(__xludf.DUMMYFUNCTION("IMPORTRANGE(""https://docs.google.com/spreadsheets/d/1SX6NBoVAgQJ6U1MVXOaj8PK2l7WJ3RER9xtqwdhxkhw/edit#gid=346597447"",""สระแก้ว!L546"")"),0)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IFERROR(__xludf.DUMMYFUNCTION("IMPORTRANGE(""https://docs.google.com/spreadsheets/d/1SX6NBoVAgQJ6U1MVXOaj8PK2l7WJ3RER9xtqwdhxkhw/edit#gid=346597447"",""สระแก้ว!M546"")"),0)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IFERROR(__xludf.DUMMYFUNCTION("IMPORTRANGE(""https://docs.google.com/spreadsheets/d/1SX6NBoVAgQJ6U1MVXOaj8PK2l7WJ3RER9xtqwdhxkhw/edit#gid=346597447"",""สระแก้ว!J547"")"),0)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IFERROR(__xludf.DUMMYFUNCTION("IMPORTRANGE(""https://docs.google.com/spreadsheets/d/1SX6NBoVAgQJ6U1MVXOaj8PK2l7WJ3RER9xtqwdhxkhw/edit#gid=346597447"",""สระแก้ว!J548"")"),0)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IFERROR(__xludf.DUMMYFUNCTION("IMPORTRANGE(""https://docs.google.com/spreadsheets/d/1SX6NBoVAgQJ6U1MVXOaj8PK2l7WJ3RER9xtqwdhxkhw/edit#gid=346597447"",""สระแก้ว!J550"")"),0)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IFERROR(__xludf.DUMMYFUNCTION("IMPORTRANGE(""https://docs.google.com/spreadsheets/d/1SX6NBoVAgQJ6U1MVXOaj8PK2l7WJ3RER9xtqwdhxkhw/edit#gid=346597447"",""สระแก้ว!J551"")"),0)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IFERROR(__xludf.DUMMYFUNCTION("IMPORTRANGE(""https://docs.google.com/spreadsheets/d/1SX6NBoVAgQJ6U1MVXOaj8PK2l7WJ3RER9xtqwdhxkhw/edit#gid=346597447"",""สระแก้ว!J552"")"),0)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IFERROR(__xludf.DUMMYFUNCTION("IMPORTRANGE(""https://docs.google.com/spreadsheets/d/1SX6NBoVAgQJ6U1MVXOaj8PK2l7WJ3RER9xtqwdhxkhw/edit#gid=346597447"",""สระแก้ว!J553"")"),0)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IFERROR(__xludf.DUMMYFUNCTION("IMPORTRANGE(""https://docs.google.com/spreadsheets/d/1SX6NBoVAgQJ6U1MVXOaj8PK2l7WJ3RER9xtqwdhxkhw/edit#gid=346597447"",""สระแก้ว!J554"")"),0)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IFERROR(__xludf.DUMMYFUNCTION("IMPORTRANGE(""https://docs.google.com/spreadsheets/d/1SX6NBoVAgQJ6U1MVXOaj8PK2l7WJ3RER9xtqwdhxkhw/edit#gid=346597447"",""สระแก้ว!J555"")"),0)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IFERROR(__xludf.DUMMYFUNCTION("IMPORTRANGE(""https://docs.google.com/spreadsheets/d/1SX6NBoVAgQJ6U1MVXOaj8PK2l7WJ3RER9xtqwdhxkhw/edit#gid=346597447"",""สระแก้ว!J556"")"),0)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IFERROR(__xludf.DUMMYFUNCTION("IMPORTRANGE(""https://docs.google.com/spreadsheets/d/1SX6NBoVAgQJ6U1MVXOaj8PK2l7WJ3RER9xtqwdhxkhw/edit#gid=346597447"",""สระแก้ว!L556"")"),0)</f>
        <v>0</v>
      </c>
      <c r="M661" s="522"/>
      <c r="N661" s="539">
        <f ca="1">IFERROR(__xludf.DUMMYFUNCTION("IMPORTRANGE(""https://docs.google.com/spreadsheets/d/1SX6NBoVAgQJ6U1MVXOaj8PK2l7WJ3RER9xtqwdhxkhw/edit#gid=346597447"",""สระแก้ว!M556"")"),0)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IFERROR(__xludf.DUMMYFUNCTION("IMPORTRANGE(""https://docs.google.com/spreadsheets/d/1SX6NBoVAgQJ6U1MVXOaj8PK2l7WJ3RER9xtqwdhxkhw/edit#gid=346597447"",""สระแก้ว!J557"")"),0)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IFERROR(__xludf.DUMMYFUNCTION("IMPORTRANGE(""https://docs.google.com/spreadsheets/d/1SX6NBoVAgQJ6U1MVXOaj8PK2l7WJ3RER9xtqwdhxkhw/edit#gid=346597447"",""สระแก้ว!I558"")"),0)</f>
        <v>0</v>
      </c>
      <c r="J663" s="537">
        <f ca="1">IFERROR(__xludf.DUMMYFUNCTION("IMPORTRANGE(""https://docs.google.com/spreadsheets/d/1SX6NBoVAgQJ6U1MVXOaj8PK2l7WJ3RER9xtqwdhxkhw/edit#gid=346597447"",""สระแก้ว!J558"")"),0)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IFERROR(__xludf.DUMMYFUNCTION("IMPORTRANGE(""https://docs.google.com/spreadsheets/d/1SX6NBoVAgQJ6U1MVXOaj8PK2l7WJ3RER9xtqwdhxkhw/edit#gid=346597447"",""สระแก้ว!I560"")"),0)</f>
        <v>0</v>
      </c>
      <c r="J665" s="537">
        <f ca="1">IFERROR(__xludf.DUMMYFUNCTION("IMPORTRANGE(""https://docs.google.com/spreadsheets/d/1SX6NBoVAgQJ6U1MVXOaj8PK2l7WJ3RER9xtqwdhxkhw/edit#gid=346597447"",""สระแก้ว!J560"")"),0)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IFERROR(__xludf.DUMMYFUNCTION("IMPORTRANGE(""https://docs.google.com/spreadsheets/d/1SX6NBoVAgQJ6U1MVXOaj8PK2l7WJ3RER9xtqwdhxkhw/edit#gid=346597447"",""สระแก้ว!L560"")"),0)</f>
        <v>0</v>
      </c>
      <c r="M665" s="522"/>
      <c r="N665" s="539">
        <f ca="1">IFERROR(__xludf.DUMMYFUNCTION("IMPORTRANGE(""https://docs.google.com/spreadsheets/d/1SX6NBoVAgQJ6U1MVXOaj8PK2l7WJ3RER9xtqwdhxkhw/edit#gid=346597447"",""สระแก้ว!M560"")"),0)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IFERROR(__xludf.DUMMYFUNCTION("IMPORTRANGE(""https://docs.google.com/spreadsheets/d/1SX6NBoVAgQJ6U1MVXOaj8PK2l7WJ3RER9xtqwdhxkhw/edit#gid=346597447"",""สระแก้ว!J561"")"),0)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IFERROR(__xludf.DUMMYFUNCTION("IMPORTRANGE(""https://docs.google.com/spreadsheets/d/1SX6NBoVAgQJ6U1MVXOaj8PK2l7WJ3RER9xtqwdhxkhw/edit#gid=346597447"",""สระแก้ว!J562"")"),0)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IFERROR(__xludf.DUMMYFUNCTION("IMPORTRANGE(""https://docs.google.com/spreadsheets/d/1SX6NBoVAgQJ6U1MVXOaj8PK2l7WJ3RER9xtqwdhxkhw/edit#gid=346597447"",""สระแก้ว!I563"")"),0)</f>
        <v>0</v>
      </c>
      <c r="J668" s="537">
        <f ca="1">IFERROR(__xludf.DUMMYFUNCTION("IMPORTRANGE(""https://docs.google.com/spreadsheets/d/1SX6NBoVAgQJ6U1MVXOaj8PK2l7WJ3RER9xtqwdhxkhw/edit#gid=346597447"",""สระแก้ว!J563"")"),0)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IFERROR(__xludf.DUMMYFUNCTION("IMPORTRANGE(""https://docs.google.com/spreadsheets/d/1SX6NBoVAgQJ6U1MVXOaj8PK2l7WJ3RER9xtqwdhxkhw/edit#gid=346597447"",""สระแก้ว!L563"")"),0)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IFERROR(__xludf.DUMMYFUNCTION("IMPORTRANGE(""https://docs.google.com/spreadsheets/d/1SX6NBoVAgQJ6U1MVXOaj8PK2l7WJ3RER9xtqwdhxkhw/edit#gid=346597447"",""สระแก้ว!M563"")"),0)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IFERROR(__xludf.DUMMYFUNCTION("IMPORTRANGE(""https://docs.google.com/spreadsheets/d/1SX6NBoVAgQJ6U1MVXOaj8PK2l7WJ3RER9xtqwdhxkhw/edit#gid=346597447"",""สระแก้ว!J564"")"),0)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IFERROR(__xludf.DUMMYFUNCTION("IMPORTRANGE(""https://docs.google.com/spreadsheets/d/1SX6NBoVAgQJ6U1MVXOaj8PK2l7WJ3RER9xtqwdhxkhw/edit#gid=346597447"",""สระแก้ว!J565"")"),0)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IFERROR(__xludf.DUMMYFUNCTION("IMPORTRANGE(""https://docs.google.com/spreadsheets/d/1SX6NBoVAgQJ6U1MVXOaj8PK2l7WJ3RER9xtqwdhxkhw/edit#gid=346597447"",""สระแก้ว!I566"")"),0)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IFERROR(__xludf.DUMMYFUNCTION("IMPORTRANGE(""https://docs.google.com/spreadsheets/d/1SX6NBoVAgQJ6U1MVXOaj8PK2l7WJ3RER9xtqwdhxkhw/edit#gid=346597447"",""สระแก้ว!L566"")"),0)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IFERROR(__xludf.DUMMYFUNCTION("IMPORTRANGE(""https://docs.google.com/spreadsheets/d/1SX6NBoVAgQJ6U1MVXOaj8PK2l7WJ3RER9xtqwdhxkhw/edit#gid=346597447"",""สระแก้ว!M566"")"),0)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IFERROR(__xludf.DUMMYFUNCTION("IMPORTRANGE(""https://docs.google.com/spreadsheets/d/1SX6NBoVAgQJ6U1MVXOaj8PK2l7WJ3RER9xtqwdhxkhw/edit#gid=346597447"",""สระแก้ว!J567"")"),0)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IFERROR(__xludf.DUMMYFUNCTION("IMPORTRANGE(""https://docs.google.com/spreadsheets/d/1SX6NBoVAgQJ6U1MVXOaj8PK2l7WJ3RER9xtqwdhxkhw/edit#gid=346597447"",""สระแก้ว!J568"")"),0)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IFERROR(__xludf.DUMMYFUNCTION("IMPORTRANGE(""https://docs.google.com/spreadsheets/d/1SX6NBoVAgQJ6U1MVXOaj8PK2l7WJ3RER9xtqwdhxkhw/edit#gid=346597447"",""สระแก้ว!J569"")"),0)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IFERROR(__xludf.DUMMYFUNCTION("IMPORTRANGE(""https://docs.google.com/spreadsheets/d/1SX6NBoVAgQJ6U1MVXOaj8PK2l7WJ3RER9xtqwdhxkhw/edit#gid=346597447"",""สระแก้ว!J570"")"),0)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IFERROR(__xludf.DUMMYFUNCTION("IMPORTRANGE(""https://docs.google.com/spreadsheets/d/1SX6NBoVAgQJ6U1MVXOaj8PK2l7WJ3RER9xtqwdhxkhw/edit#gid=346597447"",""สระแก้ว!J571"")"),0)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IFERROR(__xludf.DUMMYFUNCTION("IMPORTRANGE(""https://docs.google.com/spreadsheets/d/1SX6NBoVAgQJ6U1MVXOaj8PK2l7WJ3RER9xtqwdhxkhw/edit#gid=346597447"",""สระแก้ว!J572"")"),0)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4150534</v>
      </c>
      <c r="M8" s="23">
        <f t="shared" ca="1" si="0"/>
        <v>3011032</v>
      </c>
      <c r="N8" s="23">
        <f t="shared" ca="1" si="0"/>
        <v>3391616.9000000004</v>
      </c>
      <c r="O8" s="22">
        <f t="shared" ref="O8:O16" ca="1" si="1">IF(L8&gt;0,N8*100/L8,0)</f>
        <v>81.715193755791432</v>
      </c>
      <c r="P8" s="22">
        <f t="shared" ref="P8:P16" ca="1" si="2">IF(M8&gt;0,N8*100/M8,0)</f>
        <v>112.63968300569375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4150534</v>
      </c>
      <c r="M10" s="30">
        <f t="shared" ca="1" si="4"/>
        <v>3011032</v>
      </c>
      <c r="N10" s="30">
        <f t="shared" ca="1" si="4"/>
        <v>3391616.9000000004</v>
      </c>
      <c r="O10" s="29">
        <f t="shared" ca="1" si="1"/>
        <v>81.715193755791432</v>
      </c>
      <c r="P10" s="29">
        <f t="shared" ca="1" si="2"/>
        <v>112.63968300569375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4041134</v>
      </c>
      <c r="M12" s="38">
        <f t="shared" ca="1" si="6"/>
        <v>2901632</v>
      </c>
      <c r="N12" s="38">
        <f t="shared" ca="1" si="6"/>
        <v>3267216.9000000004</v>
      </c>
      <c r="O12" s="38">
        <f t="shared" ca="1" si="1"/>
        <v>80.849011688303349</v>
      </c>
      <c r="P12" s="38">
        <f t="shared" ca="1" si="2"/>
        <v>112.59928550553622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1863300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2177834</v>
      </c>
      <c r="M14" s="38">
        <f t="shared" si="8"/>
        <v>0</v>
      </c>
      <c r="N14" s="38">
        <f t="shared" ca="1" si="8"/>
        <v>860409.67999999993</v>
      </c>
      <c r="O14" s="38">
        <f t="shared" ca="1" si="1"/>
        <v>39.50758781431459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109400</v>
      </c>
      <c r="M16" s="38">
        <f t="shared" ca="1" si="10"/>
        <v>109400</v>
      </c>
      <c r="N16" s="38">
        <f t="shared" ca="1" si="10"/>
        <v>124400</v>
      </c>
      <c r="O16" s="49">
        <f t="shared" ca="1" si="1"/>
        <v>113.71115173674589</v>
      </c>
      <c r="P16" s="49">
        <f t="shared" ca="1" si="2"/>
        <v>113.71115173674589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2828720</v>
      </c>
      <c r="M18" s="23">
        <f t="shared" ca="1" si="11"/>
        <v>3011032</v>
      </c>
      <c r="N18" s="23">
        <f t="shared" ca="1" si="11"/>
        <v>2531207.2200000002</v>
      </c>
      <c r="O18" s="22">
        <f t="shared" ref="O18:O20" ca="1" si="12">IF(L18&gt;0,N18*100/L18,0)</f>
        <v>89.48242385248453</v>
      </c>
      <c r="P18" s="22">
        <f t="shared" ref="P18:P26" ca="1" si="13">IF(M18&gt;0,N18*100/M18,0)</f>
        <v>84.064441028856564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2828720</v>
      </c>
      <c r="M20" s="30">
        <f t="shared" ca="1" si="15"/>
        <v>3011032</v>
      </c>
      <c r="N20" s="30">
        <f t="shared" ca="1" si="15"/>
        <v>2531207.2200000002</v>
      </c>
      <c r="O20" s="29">
        <f t="shared" ca="1" si="12"/>
        <v>89.48242385248453</v>
      </c>
      <c r="P20" s="29">
        <f t="shared" ca="1" si="13"/>
        <v>84.064441028856564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2719320</v>
      </c>
      <c r="M22" s="41">
        <f t="shared" ca="1" si="18"/>
        <v>2901632</v>
      </c>
      <c r="N22" s="38">
        <f t="shared" ca="1" si="18"/>
        <v>2406807.2200000002</v>
      </c>
      <c r="O22" s="38">
        <f t="shared" ca="1" si="17"/>
        <v>88.507686480443652</v>
      </c>
      <c r="P22" s="38">
        <f t="shared" ca="1" si="13"/>
        <v>82.946673458246948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1863300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856020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109400</v>
      </c>
      <c r="M26" s="49">
        <f t="shared" ca="1" si="22"/>
        <v>109400</v>
      </c>
      <c r="N26" s="49">
        <f t="shared" ca="1" si="22"/>
        <v>124400</v>
      </c>
      <c r="O26" s="49">
        <f t="shared" ca="1" si="17"/>
        <v>113.71115173674589</v>
      </c>
      <c r="P26" s="49">
        <f t="shared" ca="1" si="13"/>
        <v>113.71115173674589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1321814</v>
      </c>
      <c r="M28" s="23">
        <f t="shared" si="23"/>
        <v>0</v>
      </c>
      <c r="N28" s="23">
        <f t="shared" ca="1" si="23"/>
        <v>860409.67999999993</v>
      </c>
      <c r="O28" s="22">
        <f t="shared" ref="O28:O30" ca="1" si="24">IF(L28&gt;0,N28*100/L28,0)</f>
        <v>65.093097818603823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1321814</v>
      </c>
      <c r="M30" s="30">
        <f t="shared" si="27"/>
        <v>0</v>
      </c>
      <c r="N30" s="30">
        <f t="shared" ca="1" si="27"/>
        <v>860409.67999999993</v>
      </c>
      <c r="O30" s="29">
        <f t="shared" ca="1" si="24"/>
        <v>65.093097818603823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1321814</v>
      </c>
      <c r="M32" s="38">
        <f t="shared" si="30"/>
        <v>0</v>
      </c>
      <c r="N32" s="38">
        <f t="shared" ca="1" si="30"/>
        <v>860409.67999999993</v>
      </c>
      <c r="O32" s="38">
        <f t="shared" ca="1" si="29"/>
        <v>65.093097818603823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1321814</v>
      </c>
      <c r="M34" s="38">
        <f t="shared" si="32"/>
        <v>0</v>
      </c>
      <c r="N34" s="38">
        <f t="shared" ca="1" si="32"/>
        <v>860409.67999999993</v>
      </c>
      <c r="O34" s="38">
        <f t="shared" ca="1" si="29"/>
        <v>65.093097818603823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2828720</v>
      </c>
      <c r="M37" s="54">
        <f t="shared" ca="1" si="33"/>
        <v>3011032</v>
      </c>
      <c r="N37" s="54">
        <f t="shared" ca="1" si="33"/>
        <v>2531207.2200000002</v>
      </c>
      <c r="O37" s="55">
        <f t="shared" ca="1" si="29"/>
        <v>89.48242385248453</v>
      </c>
      <c r="P37" s="55">
        <f t="shared" ca="1" si="25"/>
        <v>84.064441028856564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747400</v>
      </c>
      <c r="N41" s="78">
        <f t="shared" ca="1" si="34"/>
        <v>681134.07999999996</v>
      </c>
      <c r="O41" s="77">
        <f t="shared" ref="O41:O43" ca="1" si="35">IF(L41&gt;0,N41*100/L41,0)</f>
        <v>106.41057334791439</v>
      </c>
      <c r="P41" s="77">
        <f t="shared" ref="P41:P43" ca="1" si="36">IF(M41&gt;0,N41*100/M41,0)</f>
        <v>91.133807867273219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747400</v>
      </c>
      <c r="N43" s="78">
        <f t="shared" ca="1" si="38"/>
        <v>681134.07999999996</v>
      </c>
      <c r="O43" s="77">
        <f t="shared" ca="1" si="35"/>
        <v>106.41057334791439</v>
      </c>
      <c r="P43" s="77">
        <f t="shared" ca="1" si="36"/>
        <v>91.133807867273219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640100</v>
      </c>
      <c r="M45" s="49">
        <f ca="1">IFERROR(__xludf.DUMMYFUNCTION("IMPORTRANGE(""https://docs.google.com/spreadsheets/d/1Yj_ptqi66GCucihVvJfMjLAmec39IyEx_6qawtMGysU/edit?usp=sharing"",""สบก!Q76"")"),747400)</f>
        <v>747400</v>
      </c>
      <c r="N45" s="49">
        <f ca="1">IFERROR(__xludf.DUMMYFUNCTION("IMPORTRANGE(""https://docs.google.com/spreadsheets/d/1Yj_ptqi66GCucihVvJfMjLAmec39IyEx_6qawtMGysU/edit?usp=sharing"",""สบก!R76"")"),681134.08)</f>
        <v>681134.07999999996</v>
      </c>
      <c r="O45" s="38">
        <f ca="1">IF(L45&gt;0,N45*100/L45,0)</f>
        <v>106.41057334791439</v>
      </c>
      <c r="P45" s="38">
        <f ca="1">IF(M45&gt;0,N45*100/M45,0)</f>
        <v>91.133807867273219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IFERROR(__xludf.DUMMYFUNCTION("IMPORTRANGE(""https://docs.google.com/spreadsheets/d/1Yj_ptqi66GCucihVvJfMjLAmec39IyEx_6qawtMGysU/edit?usp=sharing"",""สบก!M76"")"),640100)</f>
        <v>640100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IFERROR(__xludf.DUMMYFUNCTION("IMPORTRANGE(""https://docs.google.com/spreadsheets/d/1Yj_ptqi66GCucihVvJfMjLAmec39IyEx_6qawtMGysU/edit?usp=sharing"",""สบก!O76"")"),0)</f>
        <v>0</v>
      </c>
      <c r="M49" s="49"/>
      <c r="N49" s="49">
        <f ca="1">IFERROR(__xludf.DUMMYFUNCTION("IMPORTRANGE(""https://docs.google.com/spreadsheets/d/1Yj_ptqi66GCucihVvJfMjLAmec39IyEx_6qawtMGysU/edit?usp=sharing"",""สบก!S76"")"),0)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450000</v>
      </c>
      <c r="M53" s="121">
        <f t="shared" ca="1" si="39"/>
        <v>467712</v>
      </c>
      <c r="N53" s="121">
        <f t="shared" ca="1" si="39"/>
        <v>442444</v>
      </c>
      <c r="O53" s="120">
        <f t="shared" ref="O53:O55" ca="1" si="40">IF(L53&gt;0,N53*100/L53,0)</f>
        <v>98.320888888888888</v>
      </c>
      <c r="P53" s="120">
        <f t="shared" ref="P53:P55" ca="1" si="41">IF(M53&gt;0,N53*100/M53,0)</f>
        <v>94.597530103995624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450000</v>
      </c>
      <c r="M55" s="121">
        <f t="shared" ca="1" si="43"/>
        <v>467712</v>
      </c>
      <c r="N55" s="121">
        <f t="shared" ca="1" si="43"/>
        <v>442444</v>
      </c>
      <c r="O55" s="120">
        <f t="shared" ca="1" si="40"/>
        <v>98.320888888888888</v>
      </c>
      <c r="P55" s="120">
        <f t="shared" ca="1" si="41"/>
        <v>94.597530103995624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450000</v>
      </c>
      <c r="M57" s="49">
        <f ca="1">IFERROR(__xludf.DUMMYFUNCTION("IMPORTRANGE(""https://docs.google.com/spreadsheets/d/1Yj_ptqi66GCucihVvJfMjLAmec39IyEx_6qawtMGysU/edit?usp=sharing"",""สบก!Z76"")"),467712)</f>
        <v>467712</v>
      </c>
      <c r="N57" s="49">
        <f ca="1">IFERROR(__xludf.DUMMYFUNCTION("IMPORTRANGE(""https://docs.google.com/spreadsheets/d/1Yj_ptqi66GCucihVvJfMjLAmec39IyEx_6qawtMGysU/edit?usp=sharing"",""สบก!AA76"")"),442444)</f>
        <v>442444</v>
      </c>
      <c r="O57" s="38">
        <f ca="1">IF(L57&gt;0,N57*100/L57,0)</f>
        <v>98.320888888888888</v>
      </c>
      <c r="P57" s="38">
        <f ca="1">IF(M57&gt;0,N57*100/M57,0)</f>
        <v>94.597530103995624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IFERROR(__xludf.DUMMYFUNCTION("IMPORTRANGE(""https://docs.google.com/spreadsheets/d/1Yj_ptqi66GCucihVvJfMjLAmec39IyEx_6qawtMGysU/edit?usp=sharing"",""สบก!V76"")"),450000)</f>
        <v>450000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IFERROR(__xludf.DUMMYFUNCTION("IMPORTRANGE(""https://docs.google.com/spreadsheets/d/1Yj_ptqi66GCucihVvJfMjLAmec39IyEx_6qawtMGysU/edit?usp=sharing"",""สบก!X76"")"),0)</f>
        <v>0</v>
      </c>
      <c r="M61" s="49"/>
      <c r="N61" s="49">
        <f ca="1">IFERROR(__xludf.DUMMYFUNCTION("IMPORTRANGE(""https://docs.google.com/spreadsheets/d/1Yj_ptqi66GCucihVvJfMjLAmec39IyEx_6qawtMGysU/edit?usp=sharing"",""สบก!AB76"")"),0)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IFERROR(__xludf.DUMMYFUNCTION("IMPORTRANGE(""https://docs.google.com/spreadsheets/d/1SX6NBoVAgQJ6U1MVXOaj8PK2l7WJ3RER9xtqwdhxkhw/edit?usp=sharing"",""สระบุรี!I9"")"),0)</f>
        <v>0</v>
      </c>
      <c r="J64" s="142">
        <f ca="1">IFERROR(__xludf.DUMMYFUNCTION("IMPORTRANGE(""https://docs.google.com/spreadsheets/d/1SX6NBoVAgQJ6U1MVXOaj8PK2l7WJ3RER9xtqwdhxkhw/edit?usp=sharing"",""สระบุรี!J9"")"),0)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IFERROR(__xludf.DUMMYFUNCTION("IMPORTRANGE(""https://docs.google.com/spreadsheets/d/1SX6NBoVAgQJ6U1MVXOaj8PK2l7WJ3RER9xtqwdhxkhw/edit?usp=sharing"",""สระบุรี!I10"")"),0)</f>
        <v>0</v>
      </c>
      <c r="J65" s="142">
        <f ca="1">IFERROR(__xludf.DUMMYFUNCTION("IMPORTRANGE(""https://docs.google.com/spreadsheets/d/1SX6NBoVAgQJ6U1MVXOaj8PK2l7WJ3RER9xtqwdhxkhw/edit?usp=sharing"",""สระบุรี!J10"")"),0)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11500</v>
      </c>
      <c r="N66" s="152">
        <f t="shared" ca="1" si="45"/>
        <v>8600</v>
      </c>
      <c r="O66" s="151">
        <f t="shared" ref="O66:O68" ca="1" si="46">IF(L66&gt;0,N66*100/L66,0)</f>
        <v>0</v>
      </c>
      <c r="P66" s="151">
        <f t="shared" ref="P66:P68" ca="1" si="47">IF(M66&gt;0,N66*100/M66,0)</f>
        <v>74.782608695652172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11500</v>
      </c>
      <c r="N68" s="157">
        <f t="shared" ca="1" si="49"/>
        <v>8600</v>
      </c>
      <c r="O68" s="156">
        <f t="shared" ca="1" si="46"/>
        <v>0</v>
      </c>
      <c r="P68" s="156">
        <f t="shared" ca="1" si="47"/>
        <v>74.782608695652172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IFERROR(__xludf.DUMMYFUNCTION("IMPORTRANGE(""https://docs.google.com/spreadsheets/d/1Yj_ptqi66GCucihVvJfMjLAmec39IyEx_6qawtMGysU/edit?usp=sharing"",""สบก!AI76"")"),11500)</f>
        <v>11500</v>
      </c>
      <c r="N70" s="169">
        <f ca="1">IFERROR(__xludf.DUMMYFUNCTION("IMPORTRANGE(""https://docs.google.com/spreadsheets/d/1Yj_ptqi66GCucihVvJfMjLAmec39IyEx_6qawtMGysU/edit?usp=sharing"",""สบก!AJ76"")"),8600)</f>
        <v>8600</v>
      </c>
      <c r="O70" s="169">
        <f ca="1">IF(L70&gt;0,N70*100/L70,0)</f>
        <v>0</v>
      </c>
      <c r="P70" s="169">
        <f ca="1">IF(M70&gt;0,N70*100/M70,0)</f>
        <v>74.782608695652172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IFERROR(__xludf.DUMMYFUNCTION("IMPORTRANGE(""https://docs.google.com/spreadsheets/d/1Yj_ptqi66GCucihVvJfMjLAmec39IyEx_6qawtMGysU/edit?usp=sharing"",""สบก!AF76"")"),0)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IFERROR(__xludf.DUMMYFUNCTION("IMPORTRANGE(""https://docs.google.com/spreadsheets/d/1Yj_ptqi66GCucihVvJfMjLAmec39IyEx_6qawtMGysU/edit?usp=sharing"",""สบก!AG76"")"),0)</f>
        <v>0</v>
      </c>
      <c r="M74" s="49"/>
      <c r="N74" s="49">
        <f ca="1">IFERROR(__xludf.DUMMYFUNCTION("IMPORTRANGE(""https://docs.google.com/spreadsheets/d/1Yj_ptqi66GCucihVvJfMjLAmec39IyEx_6qawtMGysU/edit?usp=sharing"",""สบก!AK76"")"),0)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IFERROR(__xludf.DUMMYFUNCTION("IMPORTRANGE(""https://docs.google.com/spreadsheets/d/1SX6NBoVAgQJ6U1MVXOaj8PK2l7WJ3RER9xtqwdhxkhw/edit?usp=sharing"",""สระบุรี!J16"")"),0)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IFERROR(__xludf.DUMMYFUNCTION("IMPORTRANGE(""https://docs.google.com/spreadsheets/d/1SX6NBoVAgQJ6U1MVXOaj8PK2l7WJ3RER9xtqwdhxkhw/edit?usp=sharing"",""สระบุรี!J17"")"),0)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IFERROR(__xludf.DUMMYFUNCTION("IMPORTRANGE(""https://docs.google.com/spreadsheets/d/1SX6NBoVAgQJ6U1MVXOaj8PK2l7WJ3RER9xtqwdhxkhw/edit?usp=sharing"",""สระบุรี!J18"")"),0)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IFERROR(__xludf.DUMMYFUNCTION("IMPORTRANGE(""https://docs.google.com/spreadsheets/d/1SX6NBoVAgQJ6U1MVXOaj8PK2l7WJ3RER9xtqwdhxkhw/edit?usp=sharing"",""สระบุรี!J19"")"),0)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IFERROR(__xludf.DUMMYFUNCTION("IMPORTRANGE(""https://docs.google.com/spreadsheets/d/1SX6NBoVAgQJ6U1MVXOaj8PK2l7WJ3RER9xtqwdhxkhw/edit?usp=sharing"",""สระบุรี!I20"")"),0)</f>
        <v>0</v>
      </c>
      <c r="J80" s="201">
        <f ca="1">IFERROR(__xludf.DUMMYFUNCTION("IMPORTRANGE(""https://docs.google.com/spreadsheets/d/1SX6NBoVAgQJ6U1MVXOaj8PK2l7WJ3RER9xtqwdhxkhw/edit?usp=sharing"",""สระบุรี!J20"")"),0)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IFERROR(__xludf.DUMMYFUNCTION("IMPORTRANGE(""https://docs.google.com/spreadsheets/d/1SX6NBoVAgQJ6U1MVXOaj8PK2l7WJ3RER9xtqwdhxkhw/edit?usp=sharing"",""สระบุรี!I21"")"),0)</f>
        <v>0</v>
      </c>
      <c r="J81" s="201">
        <f ca="1">IFERROR(__xludf.DUMMYFUNCTION("IMPORTRANGE(""https://docs.google.com/spreadsheets/d/1SX6NBoVAgQJ6U1MVXOaj8PK2l7WJ3RER9xtqwdhxkhw/edit?usp=sharing"",""สระบุรี!J21"")"),0)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IFERROR(__xludf.DUMMYFUNCTION("IMPORTRANGE(""https://docs.google.com/spreadsheets/d/1SX6NBoVAgQJ6U1MVXOaj8PK2l7WJ3RER9xtqwdhxkhw/edit?usp=sharing"",""สระบุรี!I22"")"),0)</f>
        <v>0</v>
      </c>
      <c r="J82" s="204">
        <f ca="1">IFERROR(__xludf.DUMMYFUNCTION("IMPORTRANGE(""https://docs.google.com/spreadsheets/d/1SX6NBoVAgQJ6U1MVXOaj8PK2l7WJ3RER9xtqwdhxkhw/edit?usp=sharing"",""สระบุรี!J22"")"),0)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IFERROR(__xludf.DUMMYFUNCTION("IMPORTRANGE(""https://docs.google.com/spreadsheets/d/1SX6NBoVAgQJ6U1MVXOaj8PK2l7WJ3RER9xtqwdhxkhw/edit?usp=sharing"",""สระบุรี!I23"")"),0)</f>
        <v>0</v>
      </c>
      <c r="J83" s="204">
        <f ca="1">IFERROR(__xludf.DUMMYFUNCTION("IMPORTRANGE(""https://docs.google.com/spreadsheets/d/1SX6NBoVAgQJ6U1MVXOaj8PK2l7WJ3RER9xtqwdhxkhw/edit?usp=sharing"",""สระบุรี!J23"")"),0)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IFERROR(__xludf.DUMMYFUNCTION("IMPORTRANGE(""https://docs.google.com/spreadsheets/d/1SX6NBoVAgQJ6U1MVXOaj8PK2l7WJ3RER9xtqwdhxkhw/edit?usp=sharing"",""สระบุรี!I24"")"),0)</f>
        <v>0</v>
      </c>
      <c r="J84" s="189">
        <f ca="1">IFERROR(__xludf.DUMMYFUNCTION("IMPORTRANGE(""https://docs.google.com/spreadsheets/d/1SX6NBoVAgQJ6U1MVXOaj8PK2l7WJ3RER9xtqwdhxkhw/edit?usp=sharing"",""สระบุรี!J24"")"),0)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IFERROR(__xludf.DUMMYFUNCTION("IMPORTRANGE(""https://docs.google.com/spreadsheets/d/1SX6NBoVAgQJ6U1MVXOaj8PK2l7WJ3RER9xtqwdhxkhw/edit?usp=sharing"",""สระบุรี!I25"")"),0)</f>
        <v>0</v>
      </c>
      <c r="J85" s="189">
        <f ca="1">IFERROR(__xludf.DUMMYFUNCTION("IMPORTRANGE(""https://docs.google.com/spreadsheets/d/1SX6NBoVAgQJ6U1MVXOaj8PK2l7WJ3RER9xtqwdhxkhw/edit?usp=sharing"",""สระบุรี!J25"")"),0)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IFERROR(__xludf.DUMMYFUNCTION("IMPORTRANGE(""https://docs.google.com/spreadsheets/d/1SX6NBoVAgQJ6U1MVXOaj8PK2l7WJ3RER9xtqwdhxkhw/edit?usp=sharing"",""สระบุรี!I26"")"),0)</f>
        <v>0</v>
      </c>
      <c r="J86" s="204">
        <f ca="1">IFERROR(__xludf.DUMMYFUNCTION("IMPORTRANGE(""https://docs.google.com/spreadsheets/d/1SX6NBoVAgQJ6U1MVXOaj8PK2l7WJ3RER9xtqwdhxkhw/edit?usp=sharing"",""สระบุรี!J26"")"),0)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IFERROR(__xludf.DUMMYFUNCTION("IMPORTRANGE(""https://docs.google.com/spreadsheets/d/1SX6NBoVAgQJ6U1MVXOaj8PK2l7WJ3RER9xtqwdhxkhw/edit?usp=sharing"",""สระบุรี!I27"")"),0)</f>
        <v>0</v>
      </c>
      <c r="J87" s="204">
        <f ca="1">IFERROR(__xludf.DUMMYFUNCTION("IMPORTRANGE(""https://docs.google.com/spreadsheets/d/1SX6NBoVAgQJ6U1MVXOaj8PK2l7WJ3RER9xtqwdhxkhw/edit?usp=sharing"",""สระบุรี!J27"")"),0)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IFERROR(__xludf.DUMMYFUNCTION("IMPORTRANGE(""https://docs.google.com/spreadsheets/d/1SX6NBoVAgQJ6U1MVXOaj8PK2l7WJ3RER9xtqwdhxkhw/edit?usp=sharing"",""สระบุรี!I28"")"),0)</f>
        <v>0</v>
      </c>
      <c r="J88" s="204">
        <f ca="1">IFERROR(__xludf.DUMMYFUNCTION("IMPORTRANGE(""https://docs.google.com/spreadsheets/d/1SX6NBoVAgQJ6U1MVXOaj8PK2l7WJ3RER9xtqwdhxkhw/edit?usp=sharing"",""สระบุรี!J28"")"),0)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IFERROR(__xludf.DUMMYFUNCTION("IMPORTRANGE(""https://docs.google.com/spreadsheets/d/1SX6NBoVAgQJ6U1MVXOaj8PK2l7WJ3RER9xtqwdhxkhw/edit?usp=sharing"",""สระบุรี!J29"")"),0)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IFERROR(__xludf.DUMMYFUNCTION("IMPORTRANGE(""https://docs.google.com/spreadsheets/d/1SX6NBoVAgQJ6U1MVXOaj8PK2l7WJ3RER9xtqwdhxkhw/edit?usp=sharing"",""สระบุรี!J30"")"),0)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IFERROR(__xludf.DUMMYFUNCTION("IMPORTRANGE(""https://docs.google.com/spreadsheets/d/1SX6NBoVAgQJ6U1MVXOaj8PK2l7WJ3RER9xtqwdhxkhw/edit?usp=sharing"",""สระบุรี!I32"")"),4)</f>
        <v>4</v>
      </c>
      <c r="J92" s="142">
        <f ca="1">IFERROR(__xludf.DUMMYFUNCTION("IMPORTRANGE(""https://docs.google.com/spreadsheets/d/1SX6NBoVAgQJ6U1MVXOaj8PK2l7WJ3RER9xtqwdhxkhw/edit?usp=sharing"",""สระบุรี!J32"")"),4)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IFERROR(__xludf.DUMMYFUNCTION("IMPORTRANGE(""https://docs.google.com/spreadsheets/d/1SX6NBoVAgQJ6U1MVXOaj8PK2l7WJ3RER9xtqwdhxkhw/edit?usp=sharing"",""สระบุรี!I33"")"),1)</f>
        <v>1</v>
      </c>
      <c r="J93" s="142">
        <f ca="1">IFERROR(__xludf.DUMMYFUNCTION("IMPORTRANGE(""https://docs.google.com/spreadsheets/d/1SX6NBoVAgQJ6U1MVXOaj8PK2l7WJ3RER9xtqwdhxkhw/edit?usp=sharing"",""สระบุรี!J33"")"),1)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186260</v>
      </c>
      <c r="O94" s="151">
        <f t="shared" ref="O94:O96" ca="1" si="53">IF(L94&gt;0,N94*100/L94,0)</f>
        <v>86.834498834498831</v>
      </c>
      <c r="P94" s="151">
        <f t="shared" ref="P94:P96" ca="1" si="54">IF(M94&gt;0,N94*100/M94,0)</f>
        <v>86.834498834498831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186260</v>
      </c>
      <c r="O96" s="156">
        <f t="shared" ca="1" si="53"/>
        <v>86.834498834498831</v>
      </c>
      <c r="P96" s="156">
        <f t="shared" ca="1" si="54"/>
        <v>86.834498834498831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IFERROR(__xludf.DUMMYFUNCTION("IMPORTRANGE(""https://docs.google.com/spreadsheets/d/1Yj_ptqi66GCucihVvJfMjLAmec39IyEx_6qawtMGysU/edit?usp=sharing"",""สบก!AR76"")"),122100)</f>
        <v>122100</v>
      </c>
      <c r="N98" s="169">
        <f ca="1">IFERROR(__xludf.DUMMYFUNCTION("IMPORTRANGE(""https://docs.google.com/spreadsheets/d/1Yj_ptqi66GCucihVvJfMjLAmec39IyEx_6qawtMGysU/edit?usp=sharing"",""สบก!AS76"")"),93860)</f>
        <v>93860</v>
      </c>
      <c r="O98" s="169">
        <f ca="1">IF(L98&gt;0,N98*100/L98,0)</f>
        <v>76.871416871416869</v>
      </c>
      <c r="P98" s="169">
        <f ca="1">IF(M98&gt;0,N98*100/M98,0)</f>
        <v>76.871416871416869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IFERROR(__xludf.DUMMYFUNCTION("IMPORTRANGE(""https://docs.google.com/spreadsheets/d/1Yj_ptqi66GCucihVvJfMjLAmec39IyEx_6qawtMGysU/edit?usp=sharing"",""สบก!AP76"")"),92400)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IFERROR(__xludf.DUMMYFUNCTION("IMPORTRANGE(""https://docs.google.com/spreadsheets/d/1Yj_ptqi66GCucihVvJfMjLAmec39IyEx_6qawtMGysU/edit?usp=sharing"",""สบก!AT76"")"),92400)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IFERROR(__xludf.DUMMYFUNCTION("IMPORTRANGE(""https://docs.google.com/spreadsheets/d/1SX6NBoVAgQJ6U1MVXOaj8PK2l7WJ3RER9xtqwdhxkhw/edit?usp=sharing"",""สระบุรี!J39"")"),0)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IFERROR(__xludf.DUMMYFUNCTION("IMPORTRANGE(""https://docs.google.com/spreadsheets/d/1SX6NBoVAgQJ6U1MVXOaj8PK2l7WJ3RER9xtqwdhxkhw/edit?usp=sharing"",""สระบุรี!J40"")"),1)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IFERROR(__xludf.DUMMYFUNCTION("IMPORTRANGE(""https://docs.google.com/spreadsheets/d/1SX6NBoVAgQJ6U1MVXOaj8PK2l7WJ3RER9xtqwdhxkhw/edit?usp=sharing"",""สระบุรี!J41"")"),1)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IFERROR(__xludf.DUMMYFUNCTION("IMPORTRANGE(""https://docs.google.com/spreadsheets/d/1SX6NBoVAgQJ6U1MVXOaj8PK2l7WJ3RER9xtqwdhxkhw/edit?usp=sharing"",""สระบุรี!J42"")"),1)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IFERROR(__xludf.DUMMYFUNCTION("IMPORTRANGE(""https://docs.google.com/spreadsheets/d/1SX6NBoVAgQJ6U1MVXOaj8PK2l7WJ3RER9xtqwdhxkhw/edit?usp=sharing"",""สระบุรี!I43"")"),1)</f>
        <v>1</v>
      </c>
      <c r="J108" s="204">
        <f ca="1">IFERROR(__xludf.DUMMYFUNCTION("IMPORTRANGE(""https://docs.google.com/spreadsheets/d/1SX6NBoVAgQJ6U1MVXOaj8PK2l7WJ3RER9xtqwdhxkhw/edit?usp=sharing"",""สระบุรี!J43"")"),1)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IFERROR(__xludf.DUMMYFUNCTION("IMPORTRANGE(""https://docs.google.com/spreadsheets/d/1SX6NBoVAgQJ6U1MVXOaj8PK2l7WJ3RER9xtqwdhxkhw/edit?usp=sharing"",""สระบุรี!I44"")"),4)</f>
        <v>4</v>
      </c>
      <c r="J109" s="204">
        <f ca="1">IFERROR(__xludf.DUMMYFUNCTION("IMPORTRANGE(""https://docs.google.com/spreadsheets/d/1SX6NBoVAgQJ6U1MVXOaj8PK2l7WJ3RER9xtqwdhxkhw/edit?usp=sharing"",""สระบุรี!J44"")"),4)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IFERROR(__xludf.DUMMYFUNCTION("IMPORTRANGE(""https://docs.google.com/spreadsheets/d/1SX6NBoVAgQJ6U1MVXOaj8PK2l7WJ3RER9xtqwdhxkhw/edit?usp=sharing"",""สระบุรี!I45"")"),4)</f>
        <v>4</v>
      </c>
      <c r="J110" s="204">
        <f ca="1">IFERROR(__xludf.DUMMYFUNCTION("IMPORTRANGE(""https://docs.google.com/spreadsheets/d/1SX6NBoVAgQJ6U1MVXOaj8PK2l7WJ3RER9xtqwdhxkhw/edit?usp=sharing"",""สระบุรี!J45"")"),4)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IFERROR(__xludf.DUMMYFUNCTION("IMPORTRANGE(""https://docs.google.com/spreadsheets/d/1SX6NBoVAgQJ6U1MVXOaj8PK2l7WJ3RER9xtqwdhxkhw/edit?usp=sharing"",""สระบุรี!I46"")"),4)</f>
        <v>4</v>
      </c>
      <c r="J111" s="204">
        <f ca="1">IFERROR(__xludf.DUMMYFUNCTION("IMPORTRANGE(""https://docs.google.com/spreadsheets/d/1SX6NBoVAgQJ6U1MVXOaj8PK2l7WJ3RER9xtqwdhxkhw/edit?usp=sharing"",""สระบุรี!J46"")"),4)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IFERROR(__xludf.DUMMYFUNCTION("IMPORTRANGE(""https://docs.google.com/spreadsheets/d/1SX6NBoVAgQJ6U1MVXOaj8PK2l7WJ3RER9xtqwdhxkhw/edit?usp=sharing"",""สระบุรี!I47"")"),4)</f>
        <v>4</v>
      </c>
      <c r="J112" s="204">
        <f ca="1">IFERROR(__xludf.DUMMYFUNCTION("IMPORTRANGE(""https://docs.google.com/spreadsheets/d/1SX6NBoVAgQJ6U1MVXOaj8PK2l7WJ3RER9xtqwdhxkhw/edit?usp=sharing"",""สระบุรี!J47"")"),4)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IFERROR(__xludf.DUMMYFUNCTION("IMPORTRANGE(""https://docs.google.com/spreadsheets/d/1SX6NBoVAgQJ6U1MVXOaj8PK2l7WJ3RER9xtqwdhxkhw/edit?usp=sharing"",""สระบุรี!I48"")"),1)</f>
        <v>1</v>
      </c>
      <c r="J113" s="204">
        <f ca="1">IFERROR(__xludf.DUMMYFUNCTION("IMPORTRANGE(""https://docs.google.com/spreadsheets/d/1SX6NBoVAgQJ6U1MVXOaj8PK2l7WJ3RER9xtqwdhxkhw/edit?usp=sharing"",""สระบุรี!J48"")"),1)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IFERROR(__xludf.DUMMYFUNCTION("IMPORTRANGE(""https://docs.google.com/spreadsheets/d/1SX6NBoVAgQJ6U1MVXOaj8PK2l7WJ3RER9xtqwdhxkhw/edit?usp=sharing"",""สระบุรี!J49"")"),1)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IFERROR(__xludf.DUMMYFUNCTION("IMPORTRANGE(""https://docs.google.com/spreadsheets/d/1SX6NBoVAgQJ6U1MVXOaj8PK2l7WJ3RER9xtqwdhxkhw/edit?usp=sharing"",""สระบุรี!J50"")"),0)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IFERROR(__xludf.DUMMYFUNCTION("IMPORTRANGE(""https://docs.google.com/spreadsheets/d/1SX6NBoVAgQJ6U1MVXOaj8PK2l7WJ3RER9xtqwdhxkhw/edit?usp=sharing"",""สระบุรี!I52"")"),15)</f>
        <v>15</v>
      </c>
      <c r="J117" s="142">
        <f ca="1">IFERROR(__xludf.DUMMYFUNCTION("IMPORTRANGE(""https://docs.google.com/spreadsheets/d/1SX6NBoVAgQJ6U1MVXOaj8PK2l7WJ3RER9xtqwdhxkhw/edit?usp=sharing"",""สระบุรี!J52"")"),15)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64890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64890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IFERROR(__xludf.DUMMYFUNCTION("IMPORTRANGE(""https://docs.google.com/spreadsheets/d/1Yj_ptqi66GCucihVvJfMjLAmec39IyEx_6qawtMGysU/edit?usp=sharing"",""สบก!BA76"")"),64890)</f>
        <v>64890</v>
      </c>
      <c r="N122" s="169">
        <f ca="1">IFERROR(__xludf.DUMMYFUNCTION("IMPORTRANGE(""https://docs.google.com/spreadsheets/d/1Yj_ptqi66GCucihVvJfMjLAmec39IyEx_6qawtMGysU/edit?usp=sharing"",""สบก!BB76"")"),64890)</f>
        <v>64890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IFERROR(__xludf.DUMMYFUNCTION("IMPORTRANGE(""https://docs.google.com/spreadsheets/d/1Yj_ptqi66GCucihVvJfMjLAmec39IyEx_6qawtMGysU/edit?usp=sharing"",""สบก!AX76"")"),64890)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IFERROR(__xludf.DUMMYFUNCTION("IMPORTRANGE(""https://docs.google.com/spreadsheets/d/1Yj_ptqi66GCucihVvJfMjLAmec39IyEx_6qawtMGysU/edit?usp=sharing"",""สบก!AY76"")"),0)</f>
        <v>0</v>
      </c>
      <c r="M126" s="49"/>
      <c r="N126" s="49">
        <f ca="1">IFERROR(__xludf.DUMMYFUNCTION("IMPORTRANGE(""https://docs.google.com/spreadsheets/d/1Yj_ptqi66GCucihVvJfMjLAmec39IyEx_6qawtMGysU/edit?usp=sharing"",""สบก!BC76"")"),0)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IFERROR(__xludf.DUMMYFUNCTION("IMPORTRANGE(""https://docs.google.com/spreadsheets/d/1SX6NBoVAgQJ6U1MVXOaj8PK2l7WJ3RER9xtqwdhxkhw/edit?usp=sharing"",""สระบุรี!J58"")"),0)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IFERROR(__xludf.DUMMYFUNCTION("IMPORTRANGE(""https://docs.google.com/spreadsheets/d/1SX6NBoVAgQJ6U1MVXOaj8PK2l7WJ3RER9xtqwdhxkhw/edit?usp=sharing"",""สระบุรี!J59"")"),1)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IFERROR(__xludf.DUMMYFUNCTION("IMPORTRANGE(""https://docs.google.com/spreadsheets/d/1SX6NBoVAgQJ6U1MVXOaj8PK2l7WJ3RER9xtqwdhxkhw/edit?usp=sharing"",""สระบุรี!J60"")"),1)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IFERROR(__xludf.DUMMYFUNCTION("IMPORTRANGE(""https://docs.google.com/spreadsheets/d/1SX6NBoVAgQJ6U1MVXOaj8PK2l7WJ3RER9xtqwdhxkhw/edit?usp=sharing"",""สระบุรี!J61"")"),1)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IFERROR(__xludf.DUMMYFUNCTION("IMPORTRANGE(""https://docs.google.com/spreadsheets/d/1SX6NBoVAgQJ6U1MVXOaj8PK2l7WJ3RER9xtqwdhxkhw/edit?usp=sharing"",""สระบุรี!I62"")"),15)</f>
        <v>15</v>
      </c>
      <c r="J132" s="204">
        <f ca="1">IFERROR(__xludf.DUMMYFUNCTION("IMPORTRANGE(""https://docs.google.com/spreadsheets/d/1SX6NBoVAgQJ6U1MVXOaj8PK2l7WJ3RER9xtqwdhxkhw/edit?usp=sharing"",""สระบุรี!J62"")"),15)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IFERROR(__xludf.DUMMYFUNCTION("IMPORTRANGE(""https://docs.google.com/spreadsheets/d/1SX6NBoVAgQJ6U1MVXOaj8PK2l7WJ3RER9xtqwdhxkhw/edit?usp=sharing"",""สระบุรี!I63"")"),15)</f>
        <v>15</v>
      </c>
      <c r="J133" s="204">
        <f ca="1">IFERROR(__xludf.DUMMYFUNCTION("IMPORTRANGE(""https://docs.google.com/spreadsheets/d/1SX6NBoVAgQJ6U1MVXOaj8PK2l7WJ3RER9xtqwdhxkhw/edit?usp=sharing"",""สระบุรี!J63"")"),15)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IFERROR(__xludf.DUMMYFUNCTION("IMPORTRANGE(""https://docs.google.com/spreadsheets/d/1SX6NBoVAgQJ6U1MVXOaj8PK2l7WJ3RER9xtqwdhxkhw/edit?usp=sharing"",""สระบุรี!J64"")"),1)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IFERROR(__xludf.DUMMYFUNCTION("IMPORTRANGE(""https://docs.google.com/spreadsheets/d/1SX6NBoVAgQJ6U1MVXOaj8PK2l7WJ3RER9xtqwdhxkhw/edit?usp=sharing"",""สระบุรี!J65"")"),1)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IFERROR(__xludf.DUMMYFUNCTION("IMPORTRANGE(""https://docs.google.com/spreadsheets/d/1SX6NBoVAgQJ6U1MVXOaj8PK2l7WJ3RER9xtqwdhxkhw/edit?usp=sharing"",""สระบุรี!I68"")"),15)</f>
        <v>15</v>
      </c>
      <c r="J138" s="268">
        <f ca="1">IFERROR(__xludf.DUMMYFUNCTION("IMPORTRANGE(""https://docs.google.com/spreadsheets/d/1SX6NBoVAgQJ6U1MVXOaj8PK2l7WJ3RER9xtqwdhxkhw/edit?usp=sharing"",""สระบุรี!J68"")"),15)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374200</v>
      </c>
      <c r="M140" s="152">
        <f t="shared" ca="1" si="64"/>
        <v>382200</v>
      </c>
      <c r="N140" s="152">
        <f t="shared" ca="1" si="64"/>
        <v>309374.05</v>
      </c>
      <c r="O140" s="151">
        <f t="shared" ref="O140:O142" ca="1" si="65">IF(L140&gt;0,N140*100/L140,0)</f>
        <v>82.676122394441478</v>
      </c>
      <c r="P140" s="151">
        <f t="shared" ref="P140:P142" ca="1" si="66">IF(M140&gt;0,N140*100/M140,0)</f>
        <v>80.94559131344846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374200</v>
      </c>
      <c r="M142" s="157">
        <f t="shared" ca="1" si="68"/>
        <v>382200</v>
      </c>
      <c r="N142" s="157">
        <f t="shared" ca="1" si="68"/>
        <v>309374.05</v>
      </c>
      <c r="O142" s="156">
        <f t="shared" ca="1" si="65"/>
        <v>82.676122394441478</v>
      </c>
      <c r="P142" s="156">
        <f t="shared" ca="1" si="66"/>
        <v>80.94559131344846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374200</v>
      </c>
      <c r="M144" s="168">
        <f ca="1">IFERROR(__xludf.DUMMYFUNCTION("IMPORTRANGE(""https://docs.google.com/spreadsheets/d/1Yj_ptqi66GCucihVvJfMjLAmec39IyEx_6qawtMGysU/edit?usp=sharing"",""สบก!BJ76"")"),382200)</f>
        <v>382200</v>
      </c>
      <c r="N144" s="169">
        <f ca="1">IFERROR(__xludf.DUMMYFUNCTION("IMPORTRANGE(""https://docs.google.com/spreadsheets/d/1Yj_ptqi66GCucihVvJfMjLAmec39IyEx_6qawtMGysU/edit?usp=sharing"",""สบก!BK76"")"),309374.05)</f>
        <v>309374.05</v>
      </c>
      <c r="O144" s="169">
        <f ca="1">IF(L144&gt;0,N144*100/L144,0)</f>
        <v>82.676122394441478</v>
      </c>
      <c r="P144" s="169">
        <f ca="1">IF(M144&gt;0,N144*100/M144,0)</f>
        <v>80.94559131344846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IFERROR(__xludf.DUMMYFUNCTION("IMPORTRANGE(""https://docs.google.com/spreadsheets/d/1Yj_ptqi66GCucihVvJfMjLAmec39IyEx_6qawtMGysU/edit?usp=sharing"",""สบก!BF76"")"),301600)</f>
        <v>301600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IFERROR(__xludf.DUMMYFUNCTION("IMPORTRANGE(""https://docs.google.com/spreadsheets/d/1Yj_ptqi66GCucihVvJfMjLAmec39IyEx_6qawtMGysU/edit?usp=sharing"",""สบก!BG76"")"),72600)</f>
        <v>72600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IFERROR(__xludf.DUMMYFUNCTION("IMPORTRANGE(""https://docs.google.com/spreadsheets/d/1Yj_ptqi66GCucihVvJfMjLAmec39IyEx_6qawtMGysU/edit?usp=sharing"",""สบก!BH76"")"),0)</f>
        <v>0</v>
      </c>
      <c r="M148" s="49"/>
      <c r="N148" s="49">
        <f ca="1">IFERROR(__xludf.DUMMYFUNCTION("IMPORTRANGE(""https://docs.google.com/spreadsheets/d/1Yj_ptqi66GCucihVvJfMjLAmec39IyEx_6qawtMGysU/edit?usp=sharing"",""สบก!BL76"")"),0)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IFERROR(__xludf.DUMMYFUNCTION("IMPORTRANGE(""https://docs.google.com/spreadsheets/d/1SX6NBoVAgQJ6U1MVXOaj8PK2l7WJ3RER9xtqwdhxkhw/edit?usp=sharing"",""สระบุรี!I74"")"),4)</f>
        <v>4</v>
      </c>
      <c r="J149" s="276">
        <f ca="1">IFERROR(__xludf.DUMMYFUNCTION("IMPORTRANGE(""https://docs.google.com/spreadsheets/d/1SX6NBoVAgQJ6U1MVXOaj8PK2l7WJ3RER9xtqwdhxkhw/edit?usp=sharing"",""สระบุรี!J74"")"),2)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IFERROR(__xludf.DUMMYFUNCTION("IMPORTRANGE(""https://docs.google.com/spreadsheets/d/1SX6NBoVAgQJ6U1MVXOaj8PK2l7WJ3RER9xtqwdhxkhw/edit?usp=sharing"",""สระบุรี!J79"")"),0)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IFERROR(__xludf.DUMMYFUNCTION("IMPORTRANGE(""https://docs.google.com/spreadsheets/d/1SX6NBoVAgQJ6U1MVXOaj8PK2l7WJ3RER9xtqwdhxkhw/edit?usp=sharing"",""สระบุรี!J80"")"),1)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IFERROR(__xludf.DUMMYFUNCTION("IMPORTRANGE(""https://docs.google.com/spreadsheets/d/1SX6NBoVAgQJ6U1MVXOaj8PK2l7WJ3RER9xtqwdhxkhw/edit?usp=sharing"",""สระบุรี!J81"")"),1)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IFERROR(__xludf.DUMMYFUNCTION("IMPORTRANGE(""https://docs.google.com/spreadsheets/d/1SX6NBoVAgQJ6U1MVXOaj8PK2l7WJ3RER9xtqwdhxkhw/edit?usp=sharing"",""สระบุรี!J82"")"),1)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IFERROR(__xludf.DUMMYFUNCTION("IMPORTRANGE(""https://docs.google.com/spreadsheets/d/1SX6NBoVAgQJ6U1MVXOaj8PK2l7WJ3RER9xtqwdhxkhw/edit?usp=sharing"",""สระบุรี!I83"")"),4)</f>
        <v>4</v>
      </c>
      <c r="J158" s="189">
        <f ca="1">IFERROR(__xludf.DUMMYFUNCTION("IMPORTRANGE(""https://docs.google.com/spreadsheets/d/1SX6NBoVAgQJ6U1MVXOaj8PK2l7WJ3RER9xtqwdhxkhw/edit?usp=sharing"",""สระบุรี!J83"")"),2)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IFERROR(__xludf.DUMMYFUNCTION("IMPORTRANGE(""https://docs.google.com/spreadsheets/d/1SX6NBoVAgQJ6U1MVXOaj8PK2l7WJ3RER9xtqwdhxkhw/edit?usp=sharing"",""สระบุรี!J84"")"),101)</f>
        <v>101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IFERROR(__xludf.DUMMYFUNCTION("IMPORTRANGE(""https://docs.google.com/spreadsheets/d/1SX6NBoVAgQJ6U1MVXOaj8PK2l7WJ3RER9xtqwdhxkhw/edit?usp=sharing"",""สระบุรี!J85"")"),101)</f>
        <v>101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IFERROR(__xludf.DUMMYFUNCTION("IMPORTRANGE(""https://docs.google.com/spreadsheets/d/1SX6NBoVAgQJ6U1MVXOaj8PK2l7WJ3RER9xtqwdhxkhw/edit?usp=sharing"",""สระบุรี!J86"")"),0)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IFERROR(__xludf.DUMMYFUNCTION("IMPORTRANGE(""https://docs.google.com/spreadsheets/d/1SX6NBoVAgQJ6U1MVXOaj8PK2l7WJ3RER9xtqwdhxkhw/edit?usp=sharing"",""สระบุรี!J87"")"),0)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IFERROR(__xludf.DUMMYFUNCTION("IMPORTRANGE(""https://docs.google.com/spreadsheets/d/1SX6NBoVAgQJ6U1MVXOaj8PK2l7WJ3RER9xtqwdhxkhw/edit?usp=sharing"",""สระบุรี!J88"")"),0)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IFERROR(__xludf.DUMMYFUNCTION("IMPORTRANGE(""https://docs.google.com/spreadsheets/d/1SX6NBoVAgQJ6U1MVXOaj8PK2l7WJ3RER9xtqwdhxkhw/edit?usp=sharing"",""สระบุรี!I89"")"),3)</f>
        <v>3</v>
      </c>
      <c r="J164" s="285">
        <f ca="1">IFERROR(__xludf.DUMMYFUNCTION("IMPORTRANGE(""https://docs.google.com/spreadsheets/d/1SX6NBoVAgQJ6U1MVXOaj8PK2l7WJ3RER9xtqwdhxkhw/edit?usp=sharing"",""สระบุรี!J89"")"),3)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IFERROR(__xludf.DUMMYFUNCTION("IMPORTRANGE(""https://docs.google.com/spreadsheets/d/1SX6NBoVAgQJ6U1MVXOaj8PK2l7WJ3RER9xtqwdhxkhw/edit?usp=sharing"",""สระบุรี!J94"")"),0)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IFERROR(__xludf.DUMMYFUNCTION("IMPORTRANGE(""https://docs.google.com/spreadsheets/d/1SX6NBoVAgQJ6U1MVXOaj8PK2l7WJ3RER9xtqwdhxkhw/edit?usp=sharing"",""สระบุรี!J95"")"),1)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IFERROR(__xludf.DUMMYFUNCTION("IMPORTRANGE(""https://docs.google.com/spreadsheets/d/1SX6NBoVAgQJ6U1MVXOaj8PK2l7WJ3RER9xtqwdhxkhw/edit?usp=sharing"",""สระบุรี!J96"")"),1)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IFERROR(__xludf.DUMMYFUNCTION("IMPORTRANGE(""https://docs.google.com/spreadsheets/d/1SX6NBoVAgQJ6U1MVXOaj8PK2l7WJ3RER9xtqwdhxkhw/edit?usp=sharing"",""สระบุรี!J97"")"),1)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IFERROR(__xludf.DUMMYFUNCTION("IMPORTRANGE(""https://docs.google.com/spreadsheets/d/1SX6NBoVAgQJ6U1MVXOaj8PK2l7WJ3RER9xtqwdhxkhw/edit?usp=sharing"",""สระบุรี!I98"")"),3)</f>
        <v>3</v>
      </c>
      <c r="J173" s="189">
        <f ca="1">IFERROR(__xludf.DUMMYFUNCTION("IMPORTRANGE(""https://docs.google.com/spreadsheets/d/1SX6NBoVAgQJ6U1MVXOaj8PK2l7WJ3RER9xtqwdhxkhw/edit?usp=sharing"",""สระบุรี!J98"")"),3)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IFERROR(__xludf.DUMMYFUNCTION("IMPORTRANGE(""https://docs.google.com/spreadsheets/d/1SX6NBoVAgQJ6U1MVXOaj8PK2l7WJ3RER9xtqwdhxkhw/edit?usp=sharing"",""สระบุรี!J99"")"),1)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IFERROR(__xludf.DUMMYFUNCTION("IMPORTRANGE(""https://docs.google.com/spreadsheets/d/1SX6NBoVAgQJ6U1MVXOaj8PK2l7WJ3RER9xtqwdhxkhw/edit?usp=sharing"",""สระบุรี!J100"")"),0)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IFERROR(__xludf.DUMMYFUNCTION("IMPORTRANGE(""https://docs.google.com/spreadsheets/d/1SX6NBoVAgQJ6U1MVXOaj8PK2l7WJ3RER9xtqwdhxkhw/edit?usp=sharing"",""สระบุรี!I101"")"),0)</f>
        <v>0</v>
      </c>
      <c r="J176" s="285">
        <f ca="1">IFERROR(__xludf.DUMMYFUNCTION("IMPORTRANGE(""https://docs.google.com/spreadsheets/d/1SX6NBoVAgQJ6U1MVXOaj8PK2l7WJ3RER9xtqwdhxkhw/edit?usp=sharing"",""สระบุรี!J101"")"),0)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IFERROR(__xludf.DUMMYFUNCTION("IMPORTRANGE(""https://docs.google.com/spreadsheets/d/1SX6NBoVAgQJ6U1MVXOaj8PK2l7WJ3RER9xtqwdhxkhw/edit?usp=sharing"",""สระบุรี!J106"")"),0)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IFERROR(__xludf.DUMMYFUNCTION("IMPORTRANGE(""https://docs.google.com/spreadsheets/d/1SX6NBoVAgQJ6U1MVXOaj8PK2l7WJ3RER9xtqwdhxkhw/edit?usp=sharing"",""สระบุรี!J107"")"),0)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IFERROR(__xludf.DUMMYFUNCTION("IMPORTRANGE(""https://docs.google.com/spreadsheets/d/1SX6NBoVAgQJ6U1MVXOaj8PK2l7WJ3RER9xtqwdhxkhw/edit?usp=sharing"",""สระบุรี!J108"")"),0)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IFERROR(__xludf.DUMMYFUNCTION("IMPORTRANGE(""https://docs.google.com/spreadsheets/d/1SX6NBoVAgQJ6U1MVXOaj8PK2l7WJ3RER9xtqwdhxkhw/edit?usp=sharing"",""สระบุรี!J109"")"),0)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IFERROR(__xludf.DUMMYFUNCTION("IMPORTRANGE(""https://docs.google.com/spreadsheets/d/1SX6NBoVAgQJ6U1MVXOaj8PK2l7WJ3RER9xtqwdhxkhw/edit?usp=sharing"",""สระบุรี!I110"")"),0)</f>
        <v>0</v>
      </c>
      <c r="J185" s="204">
        <f ca="1">IFERROR(__xludf.DUMMYFUNCTION("IMPORTRANGE(""https://docs.google.com/spreadsheets/d/1SX6NBoVAgQJ6U1MVXOaj8PK2l7WJ3RER9xtqwdhxkhw/edit?usp=sharing"",""สระบุรี!J110"")"),0)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IFERROR(__xludf.DUMMYFUNCTION("IMPORTRANGE(""https://docs.google.com/spreadsheets/d/1SX6NBoVAgQJ6U1MVXOaj8PK2l7WJ3RER9xtqwdhxkhw/edit?usp=sharing"",""สระบุรี!I111"")"),0)</f>
        <v>0</v>
      </c>
      <c r="J186" s="204">
        <f ca="1">IFERROR(__xludf.DUMMYFUNCTION("IMPORTRANGE(""https://docs.google.com/spreadsheets/d/1SX6NBoVAgQJ6U1MVXOaj8PK2l7WJ3RER9xtqwdhxkhw/edit?usp=sharing"",""สระบุรี!J111"")"),0)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IFERROR(__xludf.DUMMYFUNCTION("IMPORTRANGE(""https://docs.google.com/spreadsheets/d/1SX6NBoVAgQJ6U1MVXOaj8PK2l7WJ3RER9xtqwdhxkhw/edit?usp=sharing"",""สระบุรี!J112"")"),0)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IFERROR(__xludf.DUMMYFUNCTION("IMPORTRANGE(""https://docs.google.com/spreadsheets/d/1SX6NBoVAgQJ6U1MVXOaj8PK2l7WJ3RER9xtqwdhxkhw/edit?usp=sharing"",""สระบุรี!J113"")"),0)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IFERROR(__xludf.DUMMYFUNCTION("IMPORTRANGE(""https://docs.google.com/spreadsheets/d/1SX6NBoVAgQJ6U1MVXOaj8PK2l7WJ3RER9xtqwdhxkhw/edit?usp=sharing"",""สระบุรี!I114"")"),12800)</f>
        <v>12800</v>
      </c>
      <c r="J189" s="285">
        <f ca="1">IFERROR(__xludf.DUMMYFUNCTION("IMPORTRANGE(""https://docs.google.com/spreadsheets/d/1SX6NBoVAgQJ6U1MVXOaj8PK2l7WJ3RER9xtqwdhxkhw/edit?usp=sharing"",""สระบุรี!J114"")"),0)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IFERROR(__xludf.DUMMYFUNCTION("IMPORTRANGE(""https://docs.google.com/spreadsheets/d/1SX6NBoVAgQJ6U1MVXOaj8PK2l7WJ3RER9xtqwdhxkhw/edit?usp=sharing"",""สระบุรี!J119"")"),0)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IFERROR(__xludf.DUMMYFUNCTION("IMPORTRANGE(""https://docs.google.com/spreadsheets/d/1SX6NBoVAgQJ6U1MVXOaj8PK2l7WJ3RER9xtqwdhxkhw/edit?usp=sharing"",""สระบุรี!J120"")"),1)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IFERROR(__xludf.DUMMYFUNCTION("IMPORTRANGE(""https://docs.google.com/spreadsheets/d/1SX6NBoVAgQJ6U1MVXOaj8PK2l7WJ3RER9xtqwdhxkhw/edit?usp=sharing"",""สระบุรี!J121"")"),1)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IFERROR(__xludf.DUMMYFUNCTION("IMPORTRANGE(""https://docs.google.com/spreadsheets/d/1SX6NBoVAgQJ6U1MVXOaj8PK2l7WJ3RER9xtqwdhxkhw/edit?usp=sharing"",""สระบุรี!J122"")"),1)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IFERROR(__xludf.DUMMYFUNCTION("IMPORTRANGE(""https://docs.google.com/spreadsheets/d/1SX6NBoVAgQJ6U1MVXOaj8PK2l7WJ3RER9xtqwdhxkhw/edit?usp=sharing"",""สระบุรี!I124"")"),12800)</f>
        <v>12800</v>
      </c>
      <c r="J199" s="189">
        <f ca="1">IFERROR(__xludf.DUMMYFUNCTION("IMPORTRANGE(""https://docs.google.com/spreadsheets/d/1SX6NBoVAgQJ6U1MVXOaj8PK2l7WJ3RER9xtqwdhxkhw/edit?usp=sharing"",""สระบุรี!J124"")"),0)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IFERROR(__xludf.DUMMYFUNCTION("IMPORTRANGE(""https://docs.google.com/spreadsheets/d/1SX6NBoVAgQJ6U1MVXOaj8PK2l7WJ3RER9xtqwdhxkhw/edit?usp=sharing"",""สระบุรี!I125"")"),12800)</f>
        <v>12800</v>
      </c>
      <c r="J200" s="189">
        <f ca="1">IFERROR(__xludf.DUMMYFUNCTION("IMPORTRANGE(""https://docs.google.com/spreadsheets/d/1SX6NBoVAgQJ6U1MVXOaj8PK2l7WJ3RER9xtqwdhxkhw/edit?usp=sharing"",""สระบุรี!J125"")"),0)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IFERROR(__xludf.DUMMYFUNCTION("IMPORTRANGE(""https://docs.google.com/spreadsheets/d/1SX6NBoVAgQJ6U1MVXOaj8PK2l7WJ3RER9xtqwdhxkhw/edit?usp=sharing"",""สระบุรี!I126"")"),15)</f>
        <v>15</v>
      </c>
      <c r="J201" s="189">
        <f ca="1">IFERROR(__xludf.DUMMYFUNCTION("IMPORTRANGE(""https://docs.google.com/spreadsheets/d/1SX6NBoVAgQJ6U1MVXOaj8PK2l7WJ3RER9xtqwdhxkhw/edit?usp=sharing"",""สระบุรี!J126"")"),15)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IFERROR(__xludf.DUMMYFUNCTION("IMPORTRANGE(""https://docs.google.com/spreadsheets/d/1SX6NBoVAgQJ6U1MVXOaj8PK2l7WJ3RER9xtqwdhxkhw/edit?usp=sharing"",""สระบุรี!J127"")"),0)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IFERROR(__xludf.DUMMYFUNCTION("IMPORTRANGE(""https://docs.google.com/spreadsheets/d/1SX6NBoVAgQJ6U1MVXOaj8PK2l7WJ3RER9xtqwdhxkhw/edit?usp=sharing"",""สระบุรี!J128"")"),0)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IFERROR(__xludf.DUMMYFUNCTION("IMPORTRANGE(""https://docs.google.com/spreadsheets/d/1SX6NBoVAgQJ6U1MVXOaj8PK2l7WJ3RER9xtqwdhxkhw/edit?usp=sharing"",""สระบุรี!I129"")"),0)</f>
        <v>0</v>
      </c>
      <c r="J204" s="285">
        <f ca="1">IFERROR(__xludf.DUMMYFUNCTION("IMPORTRANGE(""https://docs.google.com/spreadsheets/d/1SX6NBoVAgQJ6U1MVXOaj8PK2l7WJ3RER9xtqwdhxkhw/edit?usp=sharing"",""สระบุรี!J129"")"),0)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IFERROR(__xludf.DUMMYFUNCTION("IMPORTRANGE(""https://docs.google.com/spreadsheets/d/1SX6NBoVAgQJ6U1MVXOaj8PK2l7WJ3RER9xtqwdhxkhw/edit?usp=sharing"",""สระบุรี!J134"")"),0)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IFERROR(__xludf.DUMMYFUNCTION("IMPORTRANGE(""https://docs.google.com/spreadsheets/d/1SX6NBoVAgQJ6U1MVXOaj8PK2l7WJ3RER9xtqwdhxkhw/edit?usp=sharing"",""สระบุรี!J135"")"),0)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IFERROR(__xludf.DUMMYFUNCTION("IMPORTRANGE(""https://docs.google.com/spreadsheets/d/1SX6NBoVAgQJ6U1MVXOaj8PK2l7WJ3RER9xtqwdhxkhw/edit?usp=sharing"",""สระบุรี!J136"")"),0)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IFERROR(__xludf.DUMMYFUNCTION("IMPORTRANGE(""https://docs.google.com/spreadsheets/d/1SX6NBoVAgQJ6U1MVXOaj8PK2l7WJ3RER9xtqwdhxkhw/edit?usp=sharing"",""สระบุรี!J137"")"),0)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IFERROR(__xludf.DUMMYFUNCTION("IMPORTRANGE(""https://docs.google.com/spreadsheets/d/1SX6NBoVAgQJ6U1MVXOaj8PK2l7WJ3RER9xtqwdhxkhw/edit?usp=sharing"",""สระบุรี!I138"")"),0)</f>
        <v>0</v>
      </c>
      <c r="J213" s="204">
        <f ca="1">IFERROR(__xludf.DUMMYFUNCTION("IMPORTRANGE(""https://docs.google.com/spreadsheets/d/1SX6NBoVAgQJ6U1MVXOaj8PK2l7WJ3RER9xtqwdhxkhw/edit?usp=sharing"",""สระบุรี!J138"")"),0)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IFERROR(__xludf.DUMMYFUNCTION("IMPORTRANGE(""https://docs.google.com/spreadsheets/d/1SX6NBoVAgQJ6U1MVXOaj8PK2l7WJ3RER9xtqwdhxkhw/edit?usp=sharing"",""สระบุรี!I140"")"),0)</f>
        <v>0</v>
      </c>
      <c r="J215" s="204">
        <f ca="1">IFERROR(__xludf.DUMMYFUNCTION("IMPORTRANGE(""https://docs.google.com/spreadsheets/d/1SX6NBoVAgQJ6U1MVXOaj8PK2l7WJ3RER9xtqwdhxkhw/edit?usp=sharing"",""สระบุรี!J140"")"),0)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IFERROR(__xludf.DUMMYFUNCTION("IMPORTRANGE(""https://docs.google.com/spreadsheets/d/1SX6NBoVAgQJ6U1MVXOaj8PK2l7WJ3RER9xtqwdhxkhw/edit?usp=sharing"",""สระบุรี!I141"")"),0)</f>
        <v>0</v>
      </c>
      <c r="J216" s="204">
        <f ca="1">IFERROR(__xludf.DUMMYFUNCTION("IMPORTRANGE(""https://docs.google.com/spreadsheets/d/1SX6NBoVAgQJ6U1MVXOaj8PK2l7WJ3RER9xtqwdhxkhw/edit?usp=sharing"",""สระบุรี!J141"")"),0)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IFERROR(__xludf.DUMMYFUNCTION("IMPORTRANGE(""https://docs.google.com/spreadsheets/d/1SX6NBoVAgQJ6U1MVXOaj8PK2l7WJ3RER9xtqwdhxkhw/edit?usp=sharing"",""สระบุรี!J142"")"),0)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IFERROR(__xludf.DUMMYFUNCTION("IMPORTRANGE(""https://docs.google.com/spreadsheets/d/1SX6NBoVAgQJ6U1MVXOaj8PK2l7WJ3RER9xtqwdhxkhw/edit?usp=sharing"",""สระบุรี!J143"")"),0)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IFERROR(__xludf.DUMMYFUNCTION("IMPORTRANGE(""https://docs.google.com/spreadsheets/d/1SX6NBoVAgQJ6U1MVXOaj8PK2l7WJ3RER9xtqwdhxkhw/edit?usp=sharing"",""สระบุรี!I144"")"),14)</f>
        <v>14</v>
      </c>
      <c r="J219" s="268">
        <f ca="1">IFERROR(__xludf.DUMMYFUNCTION("IMPORTRANGE(""https://docs.google.com/spreadsheets/d/1SX6NBoVAgQJ6U1MVXOaj8PK2l7WJ3RER9xtqwdhxkhw/edit?usp=sharing"",""สระบุรี!J144"")"),14)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IFERROR(__xludf.DUMMYFUNCTION("IMPORTRANGE(""https://docs.google.com/spreadsheets/d/1Yj_ptqi66GCucihVvJfMjLAmec39IyEx_6qawtMGysU/edit?usp=sharing"",""สบก!BS76"")"),20210)</f>
        <v>20210</v>
      </c>
      <c r="N224" s="169">
        <f ca="1">IFERROR(__xludf.DUMMYFUNCTION("IMPORTRANGE(""https://docs.google.com/spreadsheets/d/1Yj_ptqi66GCucihVvJfMjLAmec39IyEx_6qawtMGysU/edit?usp=sharing"",""สบก!BT76"")"),20210)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IFERROR(__xludf.DUMMYFUNCTION("IMPORTRANGE(""https://docs.google.com/spreadsheets/d/1Yj_ptqi66GCucihVvJfMjLAmec39IyEx_6qawtMGysU/edit?usp=sharing"",""สบก!BQ76"")"),0)</f>
        <v>0</v>
      </c>
      <c r="M228" s="49"/>
      <c r="N228" s="49">
        <f ca="1">IFERROR(__xludf.DUMMYFUNCTION("IMPORTRANGE(""https://docs.google.com/spreadsheets/d/1Yj_ptqi66GCucihVvJfMjLAmec39IyEx_6qawtMGysU/edit?usp=sharing"",""สบก!BU76"")"),0)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IFERROR(__xludf.DUMMYFUNCTION("IMPORTRANGE(""https://docs.google.com/spreadsheets/d/1SX6NBoVAgQJ6U1MVXOaj8PK2l7WJ3RER9xtqwdhxkhw/edit?usp=sharing"",""สระบุรี!I149"")"),14)</f>
        <v>14</v>
      </c>
      <c r="J229" s="268">
        <f ca="1">IFERROR(__xludf.DUMMYFUNCTION("IMPORTRANGE(""https://docs.google.com/spreadsheets/d/1SX6NBoVAgQJ6U1MVXOaj8PK2l7WJ3RER9xtqwdhxkhw/edit?usp=sharing"",""สระบุรี!J149"")"),14)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IFERROR(__xludf.DUMMYFUNCTION("IMPORTRANGE(""https://docs.google.com/spreadsheets/d/1SX6NBoVAgQJ6U1MVXOaj8PK2l7WJ3RER9xtqwdhxkhw/edit?usp=sharing"",""สระบุรี!J151"")"),0)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IFERROR(__xludf.DUMMYFUNCTION("IMPORTRANGE(""https://docs.google.com/spreadsheets/d/1SX6NBoVAgQJ6U1MVXOaj8PK2l7WJ3RER9xtqwdhxkhw/edit?usp=sharing"",""สระบุรี!J152"")"),1)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IFERROR(__xludf.DUMMYFUNCTION("IMPORTRANGE(""https://docs.google.com/spreadsheets/d/1SX6NBoVAgQJ6U1MVXOaj8PK2l7WJ3RER9xtqwdhxkhw/edit?usp=sharing"",""สระบุรี!J153"")"),1)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IFERROR(__xludf.DUMMYFUNCTION("IMPORTRANGE(""https://docs.google.com/spreadsheets/d/1SX6NBoVAgQJ6U1MVXOaj8PK2l7WJ3RER9xtqwdhxkhw/edit?usp=sharing"",""สระบุรี!J154"")"),1)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IFERROR(__xludf.DUMMYFUNCTION("IMPORTRANGE(""https://docs.google.com/spreadsheets/d/1SX6NBoVAgQJ6U1MVXOaj8PK2l7WJ3RER9xtqwdhxkhw/edit?usp=sharing"",""สระบุรี!I155"")"),14)</f>
        <v>14</v>
      </c>
      <c r="J235" s="189">
        <f ca="1">IFERROR(__xludf.DUMMYFUNCTION("IMPORTRANGE(""https://docs.google.com/spreadsheets/d/1SX6NBoVAgQJ6U1MVXOaj8PK2l7WJ3RER9xtqwdhxkhw/edit?usp=sharing"",""สระบุรี!J155"")"),14)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IFERROR(__xludf.DUMMYFUNCTION("IMPORTRANGE(""https://docs.google.com/spreadsheets/d/1SX6NBoVAgQJ6U1MVXOaj8PK2l7WJ3RER9xtqwdhxkhw/edit?usp=sharing"",""สระบุรี!J156"")"),1)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IFERROR(__xludf.DUMMYFUNCTION("IMPORTRANGE(""https://docs.google.com/spreadsheets/d/1SX6NBoVAgQJ6U1MVXOaj8PK2l7WJ3RER9xtqwdhxkhw/edit?usp=sharing"",""สระบุรี!J157"")"),1)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IFERROR(__xludf.DUMMYFUNCTION("IMPORTRANGE(""https://docs.google.com/spreadsheets/d/1SX6NBoVAgQJ6U1MVXOaj8PK2l7WJ3RER9xtqwdhxkhw/edit?usp=sharing"",""สระบุรี!I158"")"),0)</f>
        <v>0</v>
      </c>
      <c r="J238" s="268">
        <f ca="1">IFERROR(__xludf.DUMMYFUNCTION("IMPORTRANGE(""https://docs.google.com/spreadsheets/d/1SX6NBoVAgQJ6U1MVXOaj8PK2l7WJ3RER9xtqwdhxkhw/edit?usp=sharing"",""สระบุรี!J158"")"),0)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IFERROR(__xludf.DUMMYFUNCTION("IMPORTRANGE(""https://docs.google.com/spreadsheets/d/1SX6NBoVAgQJ6U1MVXOaj8PK2l7WJ3RER9xtqwdhxkhw/edit?usp=sharing"",""สระบุรี!J159"")"),"")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IFERROR(__xludf.DUMMYFUNCTION("IMPORTRANGE(""https://docs.google.com/spreadsheets/d/1SX6NBoVAgQJ6U1MVXOaj8PK2l7WJ3RER9xtqwdhxkhw/edit?usp=sharing"",""สระบุรี!J161"")"),0)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IFERROR(__xludf.DUMMYFUNCTION("IMPORTRANGE(""https://docs.google.com/spreadsheets/d/1SX6NBoVAgQJ6U1MVXOaj8PK2l7WJ3RER9xtqwdhxkhw/edit?usp=sharing"",""สระบุรี!J162"")"),0)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IFERROR(__xludf.DUMMYFUNCTION("IMPORTRANGE(""https://docs.google.com/spreadsheets/d/1SX6NBoVAgQJ6U1MVXOaj8PK2l7WJ3RER9xtqwdhxkhw/edit?usp=sharing"",""สระบุรี!J163"")"),0)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IFERROR(__xludf.DUMMYFUNCTION("IMPORTRANGE(""https://docs.google.com/spreadsheets/d/1SX6NBoVAgQJ6U1MVXOaj8PK2l7WJ3RER9xtqwdhxkhw/edit?usp=sharing"",""สระบุรี!I164"")"),0)</f>
        <v>0</v>
      </c>
      <c r="J244" s="188">
        <f ca="1">IFERROR(__xludf.DUMMYFUNCTION("IMPORTRANGE(""https://docs.google.com/spreadsheets/d/1SX6NBoVAgQJ6U1MVXOaj8PK2l7WJ3RER9xtqwdhxkhw/edit?usp=sharing"",""สระบุรี!J164"")"),0)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IFERROR(__xludf.DUMMYFUNCTION("IMPORTRANGE(""https://docs.google.com/spreadsheets/d/1SX6NBoVAgQJ6U1MVXOaj8PK2l7WJ3RER9xtqwdhxkhw/edit?usp=sharing"",""สระบุรี!J165"")"),1)</f>
        <v>1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IFERROR(__xludf.DUMMYFUNCTION("IMPORTRANGE(""https://docs.google.com/spreadsheets/d/1SX6NBoVAgQJ6U1MVXOaj8PK2l7WJ3RER9xtqwdhxkhw/edit?usp=sharing"",""สระบุรี!J166"")"),1)</f>
        <v>1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IFERROR(__xludf.DUMMYFUNCTION("IMPORTRANGE(""https://docs.google.com/spreadsheets/d/1SX6NBoVAgQJ6U1MVXOaj8PK2l7WJ3RER9xtqwdhxkhw/edit?usp=sharing"",""สระบุรี!I169"")"),20)</f>
        <v>20</v>
      </c>
      <c r="J249" s="317">
        <f ca="1">IFERROR(__xludf.DUMMYFUNCTION("IMPORTRANGE(""https://docs.google.com/spreadsheets/d/1SX6NBoVAgQJ6U1MVXOaj8PK2l7WJ3RER9xtqwdhxkhw/edit?usp=sharing"",""สระบุรี!J169"")"),20)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181400</v>
      </c>
      <c r="M250" s="152">
        <f t="shared" ca="1" si="77"/>
        <v>181400</v>
      </c>
      <c r="N250" s="152">
        <f t="shared" ca="1" si="77"/>
        <v>154876</v>
      </c>
      <c r="O250" s="151">
        <f t="shared" ref="O250:O252" ca="1" si="78">IF(L250&gt;0,N250*100/L250,0)</f>
        <v>85.378169790518186</v>
      </c>
      <c r="P250" s="151">
        <f t="shared" ref="P250:P252" ca="1" si="79">IF(M250&gt;0,N250*100/M250,0)</f>
        <v>85.378169790518186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181400</v>
      </c>
      <c r="M252" s="157">
        <f t="shared" ca="1" si="81"/>
        <v>181400</v>
      </c>
      <c r="N252" s="157">
        <f t="shared" ca="1" si="81"/>
        <v>154876</v>
      </c>
      <c r="O252" s="156">
        <f t="shared" ca="1" si="78"/>
        <v>85.378169790518186</v>
      </c>
      <c r="P252" s="156">
        <f t="shared" ca="1" si="79"/>
        <v>85.378169790518186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181400</v>
      </c>
      <c r="M254" s="168">
        <f ca="1">IFERROR(__xludf.DUMMYFUNCTION("IMPORTRANGE(""https://docs.google.com/spreadsheets/d/1Yj_ptqi66GCucihVvJfMjLAmec39IyEx_6qawtMGysU/edit?usp=sharing"",""สบก!CB76"")"),181400)</f>
        <v>181400</v>
      </c>
      <c r="N254" s="169">
        <f ca="1">IFERROR(__xludf.DUMMYFUNCTION("IMPORTRANGE(""https://docs.google.com/spreadsheets/d/1Yj_ptqi66GCucihVvJfMjLAmec39IyEx_6qawtMGysU/edit?usp=sharing"",""สบก!CC76"")"),154876)</f>
        <v>154876</v>
      </c>
      <c r="O254" s="169">
        <f ca="1">IF(L254&gt;0,N254*100/L254,0)</f>
        <v>85.378169790518186</v>
      </c>
      <c r="P254" s="169">
        <f ca="1">IF(M254&gt;0,N254*100/M254,0)</f>
        <v>85.378169790518186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IFERROR(__xludf.DUMMYFUNCTION("IMPORTRANGE(""https://docs.google.com/spreadsheets/d/1Yj_ptqi66GCucihVvJfMjLAmec39IyEx_6qawtMGysU/edit?usp=sharing"",""สบก!BY76"")"),181400)</f>
        <v>181400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IFERROR(__xludf.DUMMYFUNCTION("IMPORTRANGE(""https://docs.google.com/spreadsheets/d/1Yj_ptqi66GCucihVvJfMjLAmec39IyEx_6qawtMGysU/edit?usp=sharing"",""สบก!BZ76"")"),0)</f>
        <v>0</v>
      </c>
      <c r="M258" s="49"/>
      <c r="N258" s="49">
        <f ca="1">IFERROR(__xludf.DUMMYFUNCTION("IMPORTRANGE(""https://docs.google.com/spreadsheets/d/1Yj_ptqi66GCucihVvJfMjLAmec39IyEx_6qawtMGysU/edit?usp=sharing"",""สบก!CD76"")"),0)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IFERROR(__xludf.DUMMYFUNCTION("IMPORTRANGE(""https://docs.google.com/spreadsheets/d/1SX6NBoVAgQJ6U1MVXOaj8PK2l7WJ3RER9xtqwdhxkhw/edit?usp=sharing"",""สระบุรี!J175"")"),0)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IFERROR(__xludf.DUMMYFUNCTION("IMPORTRANGE(""https://docs.google.com/spreadsheets/d/1SX6NBoVAgQJ6U1MVXOaj8PK2l7WJ3RER9xtqwdhxkhw/edit?usp=sharing"",""สระบุรี!J176"")"),1)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IFERROR(__xludf.DUMMYFUNCTION("IMPORTRANGE(""https://docs.google.com/spreadsheets/d/1SX6NBoVAgQJ6U1MVXOaj8PK2l7WJ3RER9xtqwdhxkhw/edit?usp=sharing"",""สระบุรี!J177"")"),1)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IFERROR(__xludf.DUMMYFUNCTION("IMPORTRANGE(""https://docs.google.com/spreadsheets/d/1SX6NBoVAgQJ6U1MVXOaj8PK2l7WJ3RER9xtqwdhxkhw/edit?usp=sharing"",""สระบุรี!J178"")"),1)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IFERROR(__xludf.DUMMYFUNCTION("IMPORTRANGE(""https://docs.google.com/spreadsheets/d/1SX6NBoVAgQJ6U1MVXOaj8PK2l7WJ3RER9xtqwdhxkhw/edit?usp=sharing"",""สระบุรี!I179"")"),1)</f>
        <v>1</v>
      </c>
      <c r="J264" s="189">
        <f ca="1">IFERROR(__xludf.DUMMYFUNCTION("IMPORTRANGE(""https://docs.google.com/spreadsheets/d/1SX6NBoVAgQJ6U1MVXOaj8PK2l7WJ3RER9xtqwdhxkhw/edit?usp=sharing"",""สระบุรี!J179"")"),1)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IFERROR(__xludf.DUMMYFUNCTION("IMPORTRANGE(""https://docs.google.com/spreadsheets/d/1SX6NBoVAgQJ6U1MVXOaj8PK2l7WJ3RER9xtqwdhxkhw/edit?usp=sharing"",""สระบุรี!I180"")"),20)</f>
        <v>20</v>
      </c>
      <c r="J265" s="189">
        <f ca="1">IFERROR(__xludf.DUMMYFUNCTION("IMPORTRANGE(""https://docs.google.com/spreadsheets/d/1SX6NBoVAgQJ6U1MVXOaj8PK2l7WJ3RER9xtqwdhxkhw/edit?usp=sharing"",""สระบุรี!J180"")"),20)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IFERROR(__xludf.DUMMYFUNCTION("IMPORTRANGE(""https://docs.google.com/spreadsheets/d/1SX6NBoVAgQJ6U1MVXOaj8PK2l7WJ3RER9xtqwdhxkhw/edit?usp=sharing"",""สระบุรี!I181"")"),20)</f>
        <v>20</v>
      </c>
      <c r="J266" s="189">
        <f ca="1">IFERROR(__xludf.DUMMYFUNCTION("IMPORTRANGE(""https://docs.google.com/spreadsheets/d/1SX6NBoVAgQJ6U1MVXOaj8PK2l7WJ3RER9xtqwdhxkhw/edit?usp=sharing"",""สระบุรี!J181"")"),20)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IFERROR(__xludf.DUMMYFUNCTION("IMPORTRANGE(""https://docs.google.com/spreadsheets/d/1SX6NBoVAgQJ6U1MVXOaj8PK2l7WJ3RER9xtqwdhxkhw/edit?usp=sharing"",""สระบุรี!I182"")"),1)</f>
        <v>1</v>
      </c>
      <c r="J267" s="189">
        <f ca="1">IFERROR(__xludf.DUMMYFUNCTION("IMPORTRANGE(""https://docs.google.com/spreadsheets/d/1SX6NBoVAgQJ6U1MVXOaj8PK2l7WJ3RER9xtqwdhxkhw/edit?usp=sharing"",""สระบุรี!J182"")"),1)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IFERROR(__xludf.DUMMYFUNCTION("IMPORTRANGE(""https://docs.google.com/spreadsheets/d/1SX6NBoVAgQJ6U1MVXOaj8PK2l7WJ3RER9xtqwdhxkhw/edit?usp=sharing"",""สระบุรี!J183"")"),1)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IFERROR(__xludf.DUMMYFUNCTION("IMPORTRANGE(""https://docs.google.com/spreadsheets/d/1SX6NBoVAgQJ6U1MVXOaj8PK2l7WJ3RER9xtqwdhxkhw/edit?usp=sharing"",""สระบุรี!J184"")"),0)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IFERROR(__xludf.DUMMYFUNCTION("IMPORTRANGE(""https://docs.google.com/spreadsheets/d/1SX6NBoVAgQJ6U1MVXOaj8PK2l7WJ3RER9xtqwdhxkhw/edit?usp=sharing"",""สระบุรี!I185"")"),15)</f>
        <v>15</v>
      </c>
      <c r="J270" s="317">
        <f ca="1">IFERROR(__xludf.DUMMYFUNCTION("IMPORTRANGE(""https://docs.google.com/spreadsheets/d/1SX6NBoVAgQJ6U1MVXOaj8PK2l7WJ3RER9xtqwdhxkhw/edit?usp=sharing"",""สระบุรี!J185"")"),15)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32250</v>
      </c>
      <c r="O271" s="151">
        <f t="shared" ref="O271:O273" ca="1" si="84">IF(L271&gt;0,N271*100/L271,0)</f>
        <v>58.423913043478258</v>
      </c>
      <c r="P271" s="151">
        <f t="shared" ref="P271:P273" ca="1" si="85">IF(M271&gt;0,N271*100/M271,0)</f>
        <v>58.423913043478258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32250</v>
      </c>
      <c r="O273" s="156">
        <f t="shared" ca="1" si="84"/>
        <v>58.423913043478258</v>
      </c>
      <c r="P273" s="156">
        <f t="shared" ca="1" si="85"/>
        <v>58.423913043478258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IFERROR(__xludf.DUMMYFUNCTION("IMPORTRANGE(""https://docs.google.com/spreadsheets/d/1Yj_ptqi66GCucihVvJfMjLAmec39IyEx_6qawtMGysU/edit?usp=sharing"",""สบก!CK76"")"),55200)</f>
        <v>55200</v>
      </c>
      <c r="N275" s="169">
        <f ca="1">IFERROR(__xludf.DUMMYFUNCTION("IMPORTRANGE(""https://docs.google.com/spreadsheets/d/1Yj_ptqi66GCucihVvJfMjLAmec39IyEx_6qawtMGysU/edit?usp=sharing"",""สบก!CL76"")"),32250)</f>
        <v>32250</v>
      </c>
      <c r="O275" s="169">
        <f ca="1">IF(L275&gt;0,N275*100/L275,0)</f>
        <v>58.423913043478258</v>
      </c>
      <c r="P275" s="169">
        <f ca="1">IF(M275&gt;0,N275*100/M275,0)</f>
        <v>58.423913043478258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IFERROR(__xludf.DUMMYFUNCTION("IMPORTRANGE(""https://docs.google.com/spreadsheets/d/1Yj_ptqi66GCucihVvJfMjLAmec39IyEx_6qawtMGysU/edit?usp=sharing"",""สบก!CI76"")"),0)</f>
        <v>0</v>
      </c>
      <c r="M279" s="49"/>
      <c r="N279" s="49">
        <f ca="1">IFERROR(__xludf.DUMMYFUNCTION("IMPORTRANGE(""https://docs.google.com/spreadsheets/d/1Yj_ptqi66GCucihVvJfMjLAmec39IyEx_6qawtMGysU/edit?usp=sharing"",""สบก!CM76"")"),0)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IFERROR(__xludf.DUMMYFUNCTION("IMPORTRANGE(""https://docs.google.com/spreadsheets/d/1SX6NBoVAgQJ6U1MVXOaj8PK2l7WJ3RER9xtqwdhxkhw/edit?usp=sharing"",""สระบุรี!J191"")"),0)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IFERROR(__xludf.DUMMYFUNCTION("IMPORTRANGE(""https://docs.google.com/spreadsheets/d/1SX6NBoVAgQJ6U1MVXOaj8PK2l7WJ3RER9xtqwdhxkhw/edit?usp=sharing"",""สระบุรี!J192"")"),1)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IFERROR(__xludf.DUMMYFUNCTION("IMPORTRANGE(""https://docs.google.com/spreadsheets/d/1SX6NBoVAgQJ6U1MVXOaj8PK2l7WJ3RER9xtqwdhxkhw/edit?usp=sharing"",""สระบุรี!J193"")"),1)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IFERROR(__xludf.DUMMYFUNCTION("IMPORTRANGE(""https://docs.google.com/spreadsheets/d/1SX6NBoVAgQJ6U1MVXOaj8PK2l7WJ3RER9xtqwdhxkhw/edit?usp=sharing"",""สระบุรี!J194"")"),1)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IFERROR(__xludf.DUMMYFUNCTION("IMPORTRANGE(""https://docs.google.com/spreadsheets/d/1SX6NBoVAgQJ6U1MVXOaj8PK2l7WJ3RER9xtqwdhxkhw/edit?usp=sharing"",""สระบุรี!I195"")"),15)</f>
        <v>15</v>
      </c>
      <c r="J285" s="189">
        <f ca="1">IFERROR(__xludf.DUMMYFUNCTION("IMPORTRANGE(""https://docs.google.com/spreadsheets/d/1SX6NBoVAgQJ6U1MVXOaj8PK2l7WJ3RER9xtqwdhxkhw/edit?usp=sharing"",""สระบุรี!J195"")"),15)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IFERROR(__xludf.DUMMYFUNCTION("IMPORTRANGE(""https://docs.google.com/spreadsheets/d/1SX6NBoVAgQJ6U1MVXOaj8PK2l7WJ3RER9xtqwdhxkhw/edit?usp=sharing"",""สระบุรี!J196"")"),1)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IFERROR(__xludf.DUMMYFUNCTION("IMPORTRANGE(""https://docs.google.com/spreadsheets/d/1SX6NBoVAgQJ6U1MVXOaj8PK2l7WJ3RER9xtqwdhxkhw/edit?usp=sharing"",""สระบุรี!J197"")"),0)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IFERROR(__xludf.DUMMYFUNCTION("IMPORTRANGE(""https://docs.google.com/spreadsheets/d/1SX6NBoVAgQJ6U1MVXOaj8PK2l7WJ3RER9xtqwdhxkhw/edit?usp=sharing"",""สระบุรี!I199"")"),0)</f>
        <v>0</v>
      </c>
      <c r="J289" s="317">
        <f ca="1">IFERROR(__xludf.DUMMYFUNCTION("IMPORTRANGE(""https://docs.google.com/spreadsheets/d/1SX6NBoVAgQJ6U1MVXOaj8PK2l7WJ3RER9xtqwdhxkhw/edit?usp=sharing"",""สระบุรี!J199"")"),0)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IFERROR(__xludf.DUMMYFUNCTION("IMPORTRANGE(""https://docs.google.com/spreadsheets/d/1Yj_ptqi66GCucihVvJfMjLAmec39IyEx_6qawtMGysU/edit?usp=sharing"",""สบก!CT76"")"),0)</f>
        <v>0</v>
      </c>
      <c r="N294" s="169">
        <f ca="1">IFERROR(__xludf.DUMMYFUNCTION("IMPORTRANGE(""https://docs.google.com/spreadsheets/d/1Yj_ptqi66GCucihVvJfMjLAmec39IyEx_6qawtMGysU/edit?usp=sharing"",""สบก!CU76"")"),0)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IFERROR(__xludf.DUMMYFUNCTION("IMPORTRANGE(""https://docs.google.com/spreadsheets/d/1Yj_ptqi66GCucihVvJfMjLAmec39IyEx_6qawtMGysU/edit?usp=sharing"",""สบก!CR76"")"),0)</f>
        <v>0</v>
      </c>
      <c r="M298" s="49"/>
      <c r="N298" s="49">
        <f ca="1">IFERROR(__xludf.DUMMYFUNCTION("IMPORTRANGE(""https://docs.google.com/spreadsheets/d/1Yj_ptqi66GCucihVvJfMjLAmec39IyEx_6qawtMGysU/edit?usp=sharing"",""สบก!CV76"")"),0)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IFERROR(__xludf.DUMMYFUNCTION("IMPORTRANGE(""https://docs.google.com/spreadsheets/d/1SX6NBoVAgQJ6U1MVXOaj8PK2l7WJ3RER9xtqwdhxkhw/edit?usp=sharing"",""สระบุรี!J205"")"),0)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IFERROR(__xludf.DUMMYFUNCTION("IMPORTRANGE(""https://docs.google.com/spreadsheets/d/1SX6NBoVAgQJ6U1MVXOaj8PK2l7WJ3RER9xtqwdhxkhw/edit?usp=sharing"",""สระบุรี!J206"")"),0)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IFERROR(__xludf.DUMMYFUNCTION("IMPORTRANGE(""https://docs.google.com/spreadsheets/d/1SX6NBoVAgQJ6U1MVXOaj8PK2l7WJ3RER9xtqwdhxkhw/edit?usp=sharing"",""สระบุรี!J207"")"),0)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IFERROR(__xludf.DUMMYFUNCTION("IMPORTRANGE(""https://docs.google.com/spreadsheets/d/1SX6NBoVAgQJ6U1MVXOaj8PK2l7WJ3RER9xtqwdhxkhw/edit?usp=sharing"",""สระบุรี!J208"")"),0)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IFERROR(__xludf.DUMMYFUNCTION("IMPORTRANGE(""https://docs.google.com/spreadsheets/d/1SX6NBoVAgQJ6U1MVXOaj8PK2l7WJ3RER9xtqwdhxkhw/edit?usp=sharing"",""สระบุรี!I209"")"),0)</f>
        <v>0</v>
      </c>
      <c r="J304" s="204">
        <f ca="1">IFERROR(__xludf.DUMMYFUNCTION("IMPORTRANGE(""https://docs.google.com/spreadsheets/d/1SX6NBoVAgQJ6U1MVXOaj8PK2l7WJ3RER9xtqwdhxkhw/edit?usp=sharing"",""สระบุรี!J209"")"),0)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IFERROR(__xludf.DUMMYFUNCTION("IMPORTRANGE(""https://docs.google.com/spreadsheets/d/1SX6NBoVAgQJ6U1MVXOaj8PK2l7WJ3RER9xtqwdhxkhw/edit?usp=sharing"",""สระบุรี!I211"")"),0)</f>
        <v>0</v>
      </c>
      <c r="J306" s="204">
        <f ca="1">IFERROR(__xludf.DUMMYFUNCTION("IMPORTRANGE(""https://docs.google.com/spreadsheets/d/1SX6NBoVAgQJ6U1MVXOaj8PK2l7WJ3RER9xtqwdhxkhw/edit?usp=sharing"",""สระบุรี!J211"")"),0)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IFERROR(__xludf.DUMMYFUNCTION("IMPORTRANGE(""https://docs.google.com/spreadsheets/d/1SX6NBoVAgQJ6U1MVXOaj8PK2l7WJ3RER9xtqwdhxkhw/edit?usp=sharing"",""สระบุรี!J212"")"),0)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IFERROR(__xludf.DUMMYFUNCTION("IMPORTRANGE(""https://docs.google.com/spreadsheets/d/1SX6NBoVAgQJ6U1MVXOaj8PK2l7WJ3RER9xtqwdhxkhw/edit?usp=sharing"",""สระบุรี!J213"")"),0)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IFERROR(__xludf.DUMMYFUNCTION("IMPORTRANGE(""https://docs.google.com/spreadsheets/d/1SX6NBoVAgQJ6U1MVXOaj8PK2l7WJ3RER9xtqwdhxkhw/edit?usp=sharing"",""สระบุรี!I214"")"),0)</f>
        <v>0</v>
      </c>
      <c r="J309" s="334">
        <f ca="1">IFERROR(__xludf.DUMMYFUNCTION("IMPORTRANGE(""https://docs.google.com/spreadsheets/d/1SX6NBoVAgQJ6U1MVXOaj8PK2l7WJ3RER9xtqwdhxkhw/edit?usp=sharing"",""สระบุรี!J214"")"),0)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IFERROR(__xludf.DUMMYFUNCTION("IMPORTRANGE(""https://docs.google.com/spreadsheets/d/1Yj_ptqi66GCucihVvJfMjLAmec39IyEx_6qawtMGysU/edit?usp=sharing"",""สบก!DC76"")"),0)</f>
        <v>0</v>
      </c>
      <c r="N314" s="169">
        <f ca="1">IFERROR(__xludf.DUMMYFUNCTION("IMPORTRANGE(""https://docs.google.com/spreadsheets/d/1Yj_ptqi66GCucihVvJfMjLAmec39IyEx_6qawtMGysU/edit?usp=sharing"",""สบก!DD76"")"),0)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IFERROR(__xludf.DUMMYFUNCTION("IMPORTRANGE(""https://docs.google.com/spreadsheets/d/1Yj_ptqi66GCucihVvJfMjLAmec39IyEx_6qawtMGysU/edit?usp=sharing"",""สบก!DA76"")"),0)</f>
        <v>0</v>
      </c>
      <c r="M318" s="49"/>
      <c r="N318" s="49">
        <f ca="1">IFERROR(__xludf.DUMMYFUNCTION("IMPORTRANGE(""https://docs.google.com/spreadsheets/d/1Yj_ptqi66GCucihVvJfMjLAmec39IyEx_6qawtMGysU/edit?usp=sharing"",""สบก!DE76"")"),0)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IFERROR(__xludf.DUMMYFUNCTION("IMPORTRANGE(""https://docs.google.com/spreadsheets/d/1SX6NBoVAgQJ6U1MVXOaj8PK2l7WJ3RER9xtqwdhxkhw/edit?usp=sharing"",""สระบุรี!J220"")"),0)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IFERROR(__xludf.DUMMYFUNCTION("IMPORTRANGE(""https://docs.google.com/spreadsheets/d/1SX6NBoVAgQJ6U1MVXOaj8PK2l7WJ3RER9xtqwdhxkhw/edit?usp=sharing"",""สระบุรี!J221"")"),0)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IFERROR(__xludf.DUMMYFUNCTION("IMPORTRANGE(""https://docs.google.com/spreadsheets/d/1SX6NBoVAgQJ6U1MVXOaj8PK2l7WJ3RER9xtqwdhxkhw/edit?usp=sharing"",""สระบุรี!J222"")"),0)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IFERROR(__xludf.DUMMYFUNCTION("IMPORTRANGE(""https://docs.google.com/spreadsheets/d/1SX6NBoVAgQJ6U1MVXOaj8PK2l7WJ3RER9xtqwdhxkhw/edit?usp=sharing"",""สระบุรี!J223"")"),0)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IFERROR(__xludf.DUMMYFUNCTION("IMPORTRANGE(""https://docs.google.com/spreadsheets/d/1SX6NBoVAgQJ6U1MVXOaj8PK2l7WJ3RER9xtqwdhxkhw/edit?usp=sharing"",""สระบุรี!I224"")"),0)</f>
        <v>0</v>
      </c>
      <c r="J324" s="204">
        <f ca="1">IFERROR(__xludf.DUMMYFUNCTION("IMPORTRANGE(""https://docs.google.com/spreadsheets/d/1SX6NBoVAgQJ6U1MVXOaj8PK2l7WJ3RER9xtqwdhxkhw/edit?usp=sharing"",""สระบุรี!J224"")"),0)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IFERROR(__xludf.DUMMYFUNCTION("IMPORTRANGE(""https://docs.google.com/spreadsheets/d/1SX6NBoVAgQJ6U1MVXOaj8PK2l7WJ3RER9xtqwdhxkhw/edit?usp=sharing"",""สระบุรี!J225"")"),0)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IFERROR(__xludf.DUMMYFUNCTION("IMPORTRANGE(""https://docs.google.com/spreadsheets/d/1SX6NBoVAgQJ6U1MVXOaj8PK2l7WJ3RER9xtqwdhxkhw/edit?usp=sharing"",""สระบุรี!J226"")"),0)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IFERROR(__xludf.DUMMYFUNCTION("IMPORTRANGE(""https://docs.google.com/spreadsheets/d/1SX6NBoVAgQJ6U1MVXOaj8PK2l7WJ3RER9xtqwdhxkhw/edit?usp=sharing"",""สระบุรี!I228"")"),150)</f>
        <v>150</v>
      </c>
      <c r="J328" s="340">
        <f ca="1">IFERROR(__xludf.DUMMYFUNCTION("IMPORTRANGE(""https://docs.google.com/spreadsheets/d/1SX6NBoVAgQJ6U1MVXOaj8PK2l7WJ3RER9xtqwdhxkhw/edit?usp=sharing"",""สระบุรี!J228"")"),207)</f>
        <v>207</v>
      </c>
      <c r="K328" s="318">
        <f ca="1">IF(I328&gt;0,J328*100/I328,0)</f>
        <v>138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828220</v>
      </c>
      <c r="M329" s="152">
        <f t="shared" ca="1" si="98"/>
        <v>866020</v>
      </c>
      <c r="N329" s="152">
        <f t="shared" ca="1" si="98"/>
        <v>631169.09</v>
      </c>
      <c r="O329" s="151">
        <f t="shared" ref="O329:O331" ca="1" si="99">IF(L329&gt;0,N329*100/L329,0)</f>
        <v>76.207902489676655</v>
      </c>
      <c r="P329" s="151">
        <f t="shared" ref="P329:P331" ca="1" si="100">IF(M329&gt;0,N329*100/M329,0)</f>
        <v>72.881583566199396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828220</v>
      </c>
      <c r="M331" s="157">
        <f t="shared" ca="1" si="102"/>
        <v>866020</v>
      </c>
      <c r="N331" s="157">
        <f t="shared" ca="1" si="102"/>
        <v>631169.09</v>
      </c>
      <c r="O331" s="156">
        <f t="shared" ca="1" si="99"/>
        <v>76.207902489676655</v>
      </c>
      <c r="P331" s="156">
        <f t="shared" ca="1" si="100"/>
        <v>72.881583566199396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811220</v>
      </c>
      <c r="M333" s="168">
        <f ca="1">IFERROR(__xludf.DUMMYFUNCTION("IMPORTRANGE(""https://docs.google.com/spreadsheets/d/1Yj_ptqi66GCucihVvJfMjLAmec39IyEx_6qawtMGysU/edit?usp=sharing"",""สบก!DL76"")"),849020)</f>
        <v>849020</v>
      </c>
      <c r="N333" s="169">
        <f ca="1">IFERROR(__xludf.DUMMYFUNCTION("IMPORTRANGE(""https://docs.google.com/spreadsheets/d/1Yj_ptqi66GCucihVvJfMjLAmec39IyEx_6qawtMGysU/edit?usp=sharing"",""สบก!DM76"")"),599169.09)</f>
        <v>599169.09</v>
      </c>
      <c r="O333" s="169">
        <f ca="1">IF(L333&gt;0,N333*100/L333,0)</f>
        <v>73.860246295702765</v>
      </c>
      <c r="P333" s="169">
        <f ca="1">IF(M333&gt;0,N333*100/M333,0)</f>
        <v>70.571846364043253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IFERROR(__xludf.DUMMYFUNCTION("IMPORTRANGE(""https://docs.google.com/spreadsheets/d/1Yj_ptqi66GCucihVvJfMjLAmec39IyEx_6qawtMGysU/edit?usp=sharing"",""สบก!DH76"")"),471600)</f>
        <v>471600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IFERROR(__xludf.DUMMYFUNCTION("IMPORTRANGE(""https://docs.google.com/spreadsheets/d/1Yj_ptqi66GCucihVvJfMjLAmec39IyEx_6qawtMGysU/edit?usp=sharing"",""สบก!DI76"")"),339620)</f>
        <v>339620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IFERROR(__xludf.DUMMYFUNCTION("IMPORTRANGE(""https://docs.google.com/spreadsheets/d/1Yj_ptqi66GCucihVvJfMjLAmec39IyEx_6qawtMGysU/edit?usp=sharing"",""สบก!DJ76"")"),17000)</f>
        <v>17000</v>
      </c>
      <c r="M337" s="51">
        <f ca="1">L337</f>
        <v>17000</v>
      </c>
      <c r="N337" s="49">
        <f ca="1">IFERROR(__xludf.DUMMYFUNCTION("IMPORTRANGE(""https://docs.google.com/spreadsheets/d/1Yj_ptqi66GCucihVvJfMjLAmec39IyEx_6qawtMGysU/edit?usp=sharing"",""สบก!DN76"")"),32000)</f>
        <v>32000</v>
      </c>
      <c r="O337" s="49">
        <f ca="1">IF(L337&gt;0,N337*100/L337,0)</f>
        <v>188.23529411764707</v>
      </c>
      <c r="P337" s="49">
        <f ca="1">IF(M337&gt;0,N337*100/M337,0)</f>
        <v>188.23529411764707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IFERROR(__xludf.DUMMYFUNCTION("IMPORTRANGE(""https://docs.google.com/spreadsheets/d/1SX6NBoVAgQJ6U1MVXOaj8PK2l7WJ3RER9xtqwdhxkhw/edit?usp=sharing"",""สระบุรี!I234"")"),0)</f>
        <v>0</v>
      </c>
      <c r="J339" s="188">
        <f ca="1">IFERROR(__xludf.DUMMYFUNCTION("IMPORTRANGE(""https://docs.google.com/spreadsheets/d/1SX6NBoVAgQJ6U1MVXOaj8PK2l7WJ3RER9xtqwdhxkhw/edit?usp=sharing"",""สระบุรี!J234"")"),12)</f>
        <v>12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IFERROR(__xludf.DUMMYFUNCTION("IMPORTRANGE(""https://docs.google.com/spreadsheets/d/1SX6NBoVAgQJ6U1MVXOaj8PK2l7WJ3RER9xtqwdhxkhw/edit?usp=sharing"",""สระบุรี!I235"")"),1640)</f>
        <v>1640</v>
      </c>
      <c r="J340" s="188">
        <f ca="1">IFERROR(__xludf.DUMMYFUNCTION("IMPORTRANGE(""https://docs.google.com/spreadsheets/d/1SX6NBoVAgQJ6U1MVXOaj8PK2l7WJ3RER9xtqwdhxkhw/edit?usp=sharing"",""สระบุรี!J235"")"),143.65)</f>
        <v>143.65</v>
      </c>
      <c r="K340" s="343">
        <f t="shared" ca="1" si="103"/>
        <v>8.7591463414634152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IFERROR(__xludf.DUMMYFUNCTION("IMPORTRANGE(""https://docs.google.com/spreadsheets/d/1SX6NBoVAgQJ6U1MVXOaj8PK2l7WJ3RER9xtqwdhxkhw/edit?usp=sharing"",""สระบุรี!I236"")"),150)</f>
        <v>150</v>
      </c>
      <c r="J341" s="188">
        <f ca="1">IFERROR(__xludf.DUMMYFUNCTION("IMPORTRANGE(""https://docs.google.com/spreadsheets/d/1SX6NBoVAgQJ6U1MVXOaj8PK2l7WJ3RER9xtqwdhxkhw/edit?usp=sharing"",""สระบุรี!J236"")"),209)</f>
        <v>209</v>
      </c>
      <c r="K341" s="343">
        <f t="shared" ca="1" si="103"/>
        <v>139.33333333333334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IFERROR(__xludf.DUMMYFUNCTION("IMPORTRANGE(""https://docs.google.com/spreadsheets/d/1SX6NBoVAgQJ6U1MVXOaj8PK2l7WJ3RER9xtqwdhxkhw/edit?usp=sharing"",""สระบุรี!I237"")"),0)</f>
        <v>0</v>
      </c>
      <c r="J342" s="188">
        <f ca="1">IFERROR(__xludf.DUMMYFUNCTION("IMPORTRANGE(""https://docs.google.com/spreadsheets/d/1SX6NBoVAgQJ6U1MVXOaj8PK2l7WJ3RER9xtqwdhxkhw/edit?usp=sharing"",""สระบุรี!J237"")"),4049.79)</f>
        <v>4049.79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IFERROR(__xludf.DUMMYFUNCTION("IMPORTRANGE(""https://docs.google.com/spreadsheets/d/1SX6NBoVAgQJ6U1MVXOaj8PK2l7WJ3RER9xtqwdhxkhw/edit?usp=sharing"",""สระบุรี!I238"")"),150)</f>
        <v>150</v>
      </c>
      <c r="J343" s="188">
        <f ca="1">IFERROR(__xludf.DUMMYFUNCTION("IMPORTRANGE(""https://docs.google.com/spreadsheets/d/1SX6NBoVAgQJ6U1MVXOaj8PK2l7WJ3RER9xtqwdhxkhw/edit?usp=sharing"",""สระบุรี!J238"")"),4)</f>
        <v>4</v>
      </c>
      <c r="K343" s="343">
        <f t="shared" ca="1" si="103"/>
        <v>2.6666666666666665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IFERROR(__xludf.DUMMYFUNCTION("IMPORTRANGE(""https://docs.google.com/spreadsheets/d/1SX6NBoVAgQJ6U1MVXOaj8PK2l7WJ3RER9xtqwdhxkhw/edit?usp=sharing"",""สระบุรี!I239"")"),0)</f>
        <v>0</v>
      </c>
      <c r="J344" s="188">
        <f ca="1">IFERROR(__xludf.DUMMYFUNCTION("IMPORTRANGE(""https://docs.google.com/spreadsheets/d/1SX6NBoVAgQJ6U1MVXOaj8PK2l7WJ3RER9xtqwdhxkhw/edit?usp=sharing"",""สระบุรี!J239"")"),66.68)</f>
        <v>66.680000000000007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IFERROR(__xludf.DUMMYFUNCTION("IMPORTRANGE(""https://docs.google.com/spreadsheets/d/1SX6NBoVAgQJ6U1MVXOaj8PK2l7WJ3RER9xtqwdhxkhw/edit?usp=sharing"",""สระบุรี!I240"")"),150)</f>
        <v>150</v>
      </c>
      <c r="J345" s="188">
        <f ca="1">IFERROR(__xludf.DUMMYFUNCTION("IMPORTRANGE(""https://docs.google.com/spreadsheets/d/1SX6NBoVAgQJ6U1MVXOaj8PK2l7WJ3RER9xtqwdhxkhw/edit?usp=sharing"",""สระบุรี!J240"")"),207)</f>
        <v>207</v>
      </c>
      <c r="K345" s="343">
        <f t="shared" ca="1" si="103"/>
        <v>138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IFERROR(__xludf.DUMMYFUNCTION("IMPORTRANGE(""https://docs.google.com/spreadsheets/d/1SX6NBoVAgQJ6U1MVXOaj8PK2l7WJ3RER9xtqwdhxkhw/edit?usp=sharing"",""สระบุรี!I241"")"),0)</f>
        <v>0</v>
      </c>
      <c r="J346" s="188">
        <f ca="1">IFERROR(__xludf.DUMMYFUNCTION("IMPORTRANGE(""https://docs.google.com/spreadsheets/d/1SX6NBoVAgQJ6U1MVXOaj8PK2l7WJ3RER9xtqwdhxkhw/edit?usp=sharing"",""สระบุรี!J241"")"),4042)</f>
        <v>4042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IFERROR(__xludf.DUMMYFUNCTION("IMPORTRANGE(""https://docs.google.com/spreadsheets/d/1SX6NBoVAgQJ6U1MVXOaj8PK2l7WJ3RER9xtqwdhxkhw/edit?usp=sharing"",""สระบุรี!L242"")"),1321814)</f>
        <v>1321814</v>
      </c>
      <c r="M347" s="358"/>
      <c r="N347" s="358">
        <f ca="1">IFERROR(__xludf.DUMMYFUNCTION("IMPORTRANGE(""https://docs.google.com/spreadsheets/d/1SX6NBoVAgQJ6U1MVXOaj8PK2l7WJ3RER9xtqwdhxkhw/edit?usp=sharing"",""สระบุรี!M242"")"),860409.679999999)</f>
        <v>860409.679999999</v>
      </c>
      <c r="O347" s="358">
        <f ca="1">+IF(L347&gt;0,N347*100/L347,0)</f>
        <v>65.093097818603752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IFERROR(__xludf.DUMMYFUNCTION("IMPORTRANGE(""https://docs.google.com/spreadsheets/d/1SX6NBoVAgQJ6U1MVXOaj8PK2l7WJ3RER9xtqwdhxkhw/edit?usp=sharing"",""สระบุรี!I244"")"),60)</f>
        <v>60</v>
      </c>
      <c r="J349" s="371">
        <f ca="1">IFERROR(__xludf.DUMMYFUNCTION("IMPORTRANGE(""https://docs.google.com/spreadsheets/d/1SX6NBoVAgQJ6U1MVXOaj8PK2l7WJ3RER9xtqwdhxkhw/edit?usp=sharing"",""สระบุรี!J244"")"),0)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IFERROR(__xludf.DUMMYFUNCTION("IMPORTRANGE(""https://docs.google.com/spreadsheets/d/1SX6NBoVAgQJ6U1MVXOaj8PK2l7WJ3RER9xtqwdhxkhw/edit?usp=sharing"",""สระบุรี!L244"")"),93120)</f>
        <v>93120</v>
      </c>
      <c r="M349" s="373"/>
      <c r="N349" s="373">
        <f ca="1">IFERROR(__xludf.DUMMYFUNCTION("IMPORTRANGE(""https://docs.google.com/spreadsheets/d/1SX6NBoVAgQJ6U1MVXOaj8PK2l7WJ3RER9xtqwdhxkhw/edit?usp=sharing"",""สระบุรี!M244"")"),93120)</f>
        <v>93120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IFERROR(__xludf.DUMMYFUNCTION("IMPORTRANGE(""https://docs.google.com/spreadsheets/d/1SX6NBoVAgQJ6U1MVXOaj8PK2l7WJ3RER9xtqwdhxkhw/edit?usp=sharing"",""สระบุรี!I245"")"),20)</f>
        <v>20</v>
      </c>
      <c r="J350" s="371">
        <f ca="1">IFERROR(__xludf.DUMMYFUNCTION("IMPORTRANGE(""https://docs.google.com/spreadsheets/d/1SX6NBoVAgQJ6U1MVXOaj8PK2l7WJ3RER9xtqwdhxkhw/edit?usp=sharing"",""สระบุรี!J245"")"),20)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IFERROR(__xludf.DUMMYFUNCTION("IMPORTRANGE(""https://docs.google.com/spreadsheets/d/1SX6NBoVAgQJ6U1MVXOaj8PK2l7WJ3RER9xtqwdhxkhw/edit?usp=sharing"",""สระบุรี!L246"")"),0)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IFERROR(__xludf.DUMMYFUNCTION("IMPORTRANGE(""https://docs.google.com/spreadsheets/d/1SX6NBoVAgQJ6U1MVXOaj8PK2l7WJ3RER9xtqwdhxkhw/edit?usp=sharing"",""สระบุรี!M246"")"),0)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IFERROR(__xludf.DUMMYFUNCTION("IMPORTRANGE(""https://docs.google.com/spreadsheets/d/1SX6NBoVAgQJ6U1MVXOaj8PK2l7WJ3RER9xtqwdhxkhw/edit?usp=sharing"",""สระบุรี!L247"")"),93120)</f>
        <v>93120</v>
      </c>
      <c r="M352" s="165"/>
      <c r="N352" s="164">
        <f ca="1">IFERROR(__xludf.DUMMYFUNCTION("IMPORTRANGE(""https://docs.google.com/spreadsheets/d/1SX6NBoVAgQJ6U1MVXOaj8PK2l7WJ3RER9xtqwdhxkhw/edit?usp=sharing"",""สระบุรี!M247"")"),93120)</f>
        <v>93120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IFERROR(__xludf.DUMMYFUNCTION("IMPORTRANGE(""https://docs.google.com/spreadsheets/d/1SX6NBoVAgQJ6U1MVXOaj8PK2l7WJ3RER9xtqwdhxkhw/edit?usp=sharing"",""สระบุรี!L248"")"),0)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IFERROR(__xludf.DUMMYFUNCTION("IMPORTRANGE(""https://docs.google.com/spreadsheets/d/1SX6NBoVAgQJ6U1MVXOaj8PK2l7WJ3RER9xtqwdhxkhw/edit?usp=sharing"",""สระบุรี!M248"")"),0)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IFERROR(__xludf.DUMMYFUNCTION("IMPORTRANGE(""https://docs.google.com/spreadsheets/d/1SX6NBoVAgQJ6U1MVXOaj8PK2l7WJ3RER9xtqwdhxkhw/edit?usp=sharing"",""สระบุรี!L249"")"),93120)</f>
        <v>93120</v>
      </c>
      <c r="M354" s="169"/>
      <c r="N354" s="168">
        <f ca="1">IFERROR(__xludf.DUMMYFUNCTION("IMPORTRANGE(""https://docs.google.com/spreadsheets/d/1SX6NBoVAgQJ6U1MVXOaj8PK2l7WJ3RER9xtqwdhxkhw/edit?usp=sharing"",""สระบุรี!M249"")"),93120)</f>
        <v>93120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IFERROR(__xludf.DUMMYFUNCTION("IMPORTRANGE(""https://docs.google.com/spreadsheets/d/1SX6NBoVAgQJ6U1MVXOaj8PK2l7WJ3RER9xtqwdhxkhw/edit?usp=sharing"",""สระบุรี!M250"")"),26360)</f>
        <v>26360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IFERROR(__xludf.DUMMYFUNCTION("IMPORTRANGE(""https://docs.google.com/spreadsheets/d/1SX6NBoVAgQJ6U1MVXOaj8PK2l7WJ3RER9xtqwdhxkhw/edit?usp=sharing"",""สระบุรี!M251"")"),47000)</f>
        <v>47000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IFERROR(__xludf.DUMMYFUNCTION("IMPORTRANGE(""https://docs.google.com/spreadsheets/d/1SX6NBoVAgQJ6U1MVXOaj8PK2l7WJ3RER9xtqwdhxkhw/edit?usp=sharing"",""สระบุรี!M252"")"),0)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IFERROR(__xludf.DUMMYFUNCTION("IMPORTRANGE(""https://docs.google.com/spreadsheets/d/1SX6NBoVAgQJ6U1MVXOaj8PK2l7WJ3RER9xtqwdhxkhw/edit?usp=sharing"",""สระบุรี!M253"")"),19760)</f>
        <v>19760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IFERROR(__xludf.DUMMYFUNCTION("IMPORTRANGE(""https://docs.google.com/spreadsheets/d/1SX6NBoVAgQJ6U1MVXOaj8PK2l7WJ3RER9xtqwdhxkhw/edit?usp=sharing"",""สระบุรี!J255"")"),0)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IFERROR(__xludf.DUMMYFUNCTION("IMPORTRANGE(""https://docs.google.com/spreadsheets/d/1SX6NBoVAgQJ6U1MVXOaj8PK2l7WJ3RER9xtqwdhxkhw/edit?usp=sharing"",""สระบุรี!J256"")"),1)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IFERROR(__xludf.DUMMYFUNCTION("IMPORTRANGE(""https://docs.google.com/spreadsheets/d/1SX6NBoVAgQJ6U1MVXOaj8PK2l7WJ3RER9xtqwdhxkhw/edit?usp=sharing"",""สระบุรี!J257"")"),1)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IFERROR(__xludf.DUMMYFUNCTION("IMPORTRANGE(""https://docs.google.com/spreadsheets/d/1SX6NBoVAgQJ6U1MVXOaj8PK2l7WJ3RER9xtqwdhxkhw/edit?usp=sharing"",""สระบุรี!J258"")"),1)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IFERROR(__xludf.DUMMYFUNCTION("IMPORTRANGE(""https://docs.google.com/spreadsheets/d/1SX6NBoVAgQJ6U1MVXOaj8PK2l7WJ3RER9xtqwdhxkhw/edit?usp=sharing"",""สระบุรี!J166"")"),1)</f>
        <v>1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IFERROR(__xludf.DUMMYFUNCTION("IMPORTRANGE(""https://docs.google.com/spreadsheets/d/1SX6NBoVAgQJ6U1MVXOaj8PK2l7WJ3RER9xtqwdhxkhw/edit?usp=sharing"",""สระบุรี!J166"")"),1)</f>
        <v>1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IFERROR(__xludf.DUMMYFUNCTION("IMPORTRANGE(""https://docs.google.com/spreadsheets/d/1SX6NBoVAgQJ6U1MVXOaj8PK2l7WJ3RER9xtqwdhxkhw/edit?usp=sharing"",""สระบุรี!J166"")"),1)</f>
        <v>1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IFERROR(__xludf.DUMMYFUNCTION("IMPORTRANGE(""https://docs.google.com/spreadsheets/d/1SX6NBoVAgQJ6U1MVXOaj8PK2l7WJ3RER9xtqwdhxkhw/edit?usp=sharing"",""สระบุรี!J166"")"),1)</f>
        <v>1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IFERROR(__xludf.DUMMYFUNCTION("IMPORTRANGE(""https://docs.google.com/spreadsheets/d/1SX6NBoVAgQJ6U1MVXOaj8PK2l7WJ3RER9xtqwdhxkhw/edit?usp=sharing"",""สระบุรี!I263"")"),20)</f>
        <v>20</v>
      </c>
      <c r="J368" s="188">
        <f ca="1">IFERROR(__xludf.DUMMYFUNCTION("IMPORTRANGE(""https://docs.google.com/spreadsheets/d/1SX6NBoVAgQJ6U1MVXOaj8PK2l7WJ3RER9xtqwdhxkhw/edit?usp=sharing"",""สระบุรี!J263"")"),20)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IFERROR(__xludf.DUMMYFUNCTION("IMPORTRANGE(""https://docs.google.com/spreadsheets/d/1SX6NBoVAgQJ6U1MVXOaj8PK2l7WJ3RER9xtqwdhxkhw/edit?usp=sharing"",""สระบุรี!I164"")"),0)</f>
        <v>0</v>
      </c>
      <c r="J369" s="204">
        <f ca="1">IFERROR(__xludf.DUMMYFUNCTION("IMPORTRANGE(""https://docs.google.com/spreadsheets/d/1SX6NBoVAgQJ6U1MVXOaj8PK2l7WJ3RER9xtqwdhxkhw/edit?usp=sharing"",""สระบุรี!J164"")"),0)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IFERROR(__xludf.DUMMYFUNCTION("IMPORTRANGE(""https://docs.google.com/spreadsheets/d/1SX6NBoVAgQJ6U1MVXOaj8PK2l7WJ3RER9xtqwdhxkhw/edit?usp=sharing"",""สระบุรี!I265"")"),20)</f>
        <v>20</v>
      </c>
      <c r="J370" s="204">
        <f ca="1">IFERROR(__xludf.DUMMYFUNCTION("IMPORTRANGE(""https://docs.google.com/spreadsheets/d/1SX6NBoVAgQJ6U1MVXOaj8PK2l7WJ3RER9xtqwdhxkhw/edit?usp=sharing"",""สระบุรี!J265"")"),20)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IFERROR(__xludf.DUMMYFUNCTION("IMPORTRANGE(""https://docs.google.com/spreadsheets/d/1SX6NBoVAgQJ6U1MVXOaj8PK2l7WJ3RER9xtqwdhxkhw/edit?usp=sharing"",""สระบุรี!I164"")"),0)</f>
        <v>0</v>
      </c>
      <c r="J371" s="189">
        <f ca="1">IFERROR(__xludf.DUMMYFUNCTION("IMPORTRANGE(""https://docs.google.com/spreadsheets/d/1SX6NBoVAgQJ6U1MVXOaj8PK2l7WJ3RER9xtqwdhxkhw/edit?usp=sharing"",""สระบุรี!J164"")"),0)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IFERROR(__xludf.DUMMYFUNCTION("IMPORTRANGE(""https://docs.google.com/spreadsheets/d/1SX6NBoVAgQJ6U1MVXOaj8PK2l7WJ3RER9xtqwdhxkhw/edit?usp=sharing"",""สระบุรี!I267"")"),20)</f>
        <v>20</v>
      </c>
      <c r="J372" s="189">
        <f ca="1">IFERROR(__xludf.DUMMYFUNCTION("IMPORTRANGE(""https://docs.google.com/spreadsheets/d/1SX6NBoVAgQJ6U1MVXOaj8PK2l7WJ3RER9xtqwdhxkhw/edit?usp=sharing"",""สระบุรี!J267"")"),20)</f>
        <v>20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IFERROR(__xludf.DUMMYFUNCTION("IMPORTRANGE(""https://docs.google.com/spreadsheets/d/1SX6NBoVAgQJ6U1MVXOaj8PK2l7WJ3RER9xtqwdhxkhw/edit?usp=sharing"",""สระบุรี!I164"")"),0)</f>
        <v>0</v>
      </c>
      <c r="J373" s="204">
        <f ca="1">IFERROR(__xludf.DUMMYFUNCTION("IMPORTRANGE(""https://docs.google.com/spreadsheets/d/1SX6NBoVAgQJ6U1MVXOaj8PK2l7WJ3RER9xtqwdhxkhw/edit?usp=sharing"",""สระบุรี!J164"")"),0)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IFERROR(__xludf.DUMMYFUNCTION("IMPORTRANGE(""https://docs.google.com/spreadsheets/d/1SX6NBoVAgQJ6U1MVXOaj8PK2l7WJ3RER9xtqwdhxkhw/edit?usp=sharing"",""สระบุรี!I164"")"),0)</f>
        <v>0</v>
      </c>
      <c r="J374" s="188">
        <f ca="1">IFERROR(__xludf.DUMMYFUNCTION("IMPORTRANGE(""https://docs.google.com/spreadsheets/d/1SX6NBoVAgQJ6U1MVXOaj8PK2l7WJ3RER9xtqwdhxkhw/edit?usp=sharing"",""สระบุรี!J164"")"),0)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IFERROR(__xludf.DUMMYFUNCTION("IMPORTRANGE(""https://docs.google.com/spreadsheets/d/1SX6NBoVAgQJ6U1MVXOaj8PK2l7WJ3RER9xtqwdhxkhw/edit?usp=sharing"",""สระบุรี!I270"")"),60)</f>
        <v>60</v>
      </c>
      <c r="J375" s="188">
        <f ca="1">IFERROR(__xludf.DUMMYFUNCTION("IMPORTRANGE(""https://docs.google.com/spreadsheets/d/1SX6NBoVAgQJ6U1MVXOaj8PK2l7WJ3RER9xtqwdhxkhw/edit?usp=sharing"",""สระบุรี!J270"")"),0)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IFERROR(__xludf.DUMMYFUNCTION("IMPORTRANGE(""https://docs.google.com/spreadsheets/d/1SX6NBoVAgQJ6U1MVXOaj8PK2l7WJ3RER9xtqwdhxkhw/edit?usp=sharing"",""สระบุรี!I271"")"),0)</f>
        <v>0</v>
      </c>
      <c r="J376" s="189">
        <f ca="1">IFERROR(__xludf.DUMMYFUNCTION("IMPORTRANGE(""https://docs.google.com/spreadsheets/d/1SX6NBoVAgQJ6U1MVXOaj8PK2l7WJ3RER9xtqwdhxkhw/edit?usp=sharing"",""สระบุรี!J271"")"),0)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IFERROR(__xludf.DUMMYFUNCTION("IMPORTRANGE(""https://docs.google.com/spreadsheets/d/1SX6NBoVAgQJ6U1MVXOaj8PK2l7WJ3RER9xtqwdhxkhw/edit?usp=sharing"",""สระบุรี!I272"")"),60)</f>
        <v>60</v>
      </c>
      <c r="J377" s="204">
        <f ca="1">IFERROR(__xludf.DUMMYFUNCTION("IMPORTRANGE(""https://docs.google.com/spreadsheets/d/1SX6NBoVAgQJ6U1MVXOaj8PK2l7WJ3RER9xtqwdhxkhw/edit?usp=sharing"",""สระบุรี!J272"")"),0)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IFERROR(__xludf.DUMMYFUNCTION("IMPORTRANGE(""https://docs.google.com/spreadsheets/d/1SX6NBoVAgQJ6U1MVXOaj8PK2l7WJ3RER9xtqwdhxkhw/edit?usp=sharing"",""สระบุรี!J273"")"),0)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IFERROR(__xludf.DUMMYFUNCTION("IMPORTRANGE(""https://docs.google.com/spreadsheets/d/1SX6NBoVAgQJ6U1MVXOaj8PK2l7WJ3RER9xtqwdhxkhw/edit?usp=sharing"",""สระบุรี!J274"")"),0)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IFERROR(__xludf.DUMMYFUNCTION("IMPORTRANGE(""https://docs.google.com/spreadsheets/d/1SX6NBoVAgQJ6U1MVXOaj8PK2l7WJ3RER9xtqwdhxkhw/edit?usp=sharing"",""สระบุรี!I275"")"),200)</f>
        <v>200</v>
      </c>
      <c r="J380" s="371">
        <f ca="1">IFERROR(__xludf.DUMMYFUNCTION("IMPORTRANGE(""https://docs.google.com/spreadsheets/d/1SX6NBoVAgQJ6U1MVXOaj8PK2l7WJ3RER9xtqwdhxkhw/edit?usp=sharing"",""สระบุรี!J275"")"),200)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IFERROR(__xludf.DUMMYFUNCTION("IMPORTRANGE(""https://docs.google.com/spreadsheets/d/1SX6NBoVAgQJ6U1MVXOaj8PK2l7WJ3RER9xtqwdhxkhw/edit?usp=sharing"",""สระบุรี!L275"")"),207560)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IFERROR(__xludf.DUMMYFUNCTION("IMPORTRANGE(""https://docs.google.com/spreadsheets/d/1SX6NBoVAgQJ6U1MVXOaj8PK2l7WJ3RER9xtqwdhxkhw/edit?usp=sharing"",""สระบุรี!M275"")"),207560)</f>
        <v>207560</v>
      </c>
      <c r="O380" s="373">
        <f ca="1">+IF(L380&gt;0,N380*100/L380,0)</f>
        <v>100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IFERROR(__xludf.DUMMYFUNCTION("IMPORTRANGE(""https://docs.google.com/spreadsheets/d/1SX6NBoVAgQJ6U1MVXOaj8PK2l7WJ3RER9xtqwdhxkhw/edit?usp=sharing"",""สระบุรี!I276"")"),20)</f>
        <v>20</v>
      </c>
      <c r="J381" s="371">
        <f ca="1">IFERROR(__xludf.DUMMYFUNCTION("IMPORTRANGE(""https://docs.google.com/spreadsheets/d/1SX6NBoVAgQJ6U1MVXOaj8PK2l7WJ3RER9xtqwdhxkhw/edit?usp=sharing"",""สระบุรี!J276"")"),20)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IFERROR(__xludf.DUMMYFUNCTION("IMPORTRANGE(""https://docs.google.com/spreadsheets/d/1SX6NBoVAgQJ6U1MVXOaj8PK2l7WJ3RER9xtqwdhxkhw/edit?usp=sharing"",""สระบุรี!L277"")"),0)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IFERROR(__xludf.DUMMYFUNCTION("IMPORTRANGE(""https://docs.google.com/spreadsheets/d/1SX6NBoVAgQJ6U1MVXOaj8PK2l7WJ3RER9xtqwdhxkhw/edit?usp=sharing"",""สระบุรี!M277"")"),0)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IFERROR(__xludf.DUMMYFUNCTION("IMPORTRANGE(""https://docs.google.com/spreadsheets/d/1SX6NBoVAgQJ6U1MVXOaj8PK2l7WJ3RER9xtqwdhxkhw/edit?usp=sharing"",""สระบุรี!L278"")"),207560)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IFERROR(__xludf.DUMMYFUNCTION("IMPORTRANGE(""https://docs.google.com/spreadsheets/d/1SX6NBoVAgQJ6U1MVXOaj8PK2l7WJ3RER9xtqwdhxkhw/edit?usp=sharing"",""สระบุรี!M278"")"),207560)</f>
        <v>207560</v>
      </c>
      <c r="O383" s="165">
        <f t="shared" ca="1" si="109"/>
        <v>100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IFERROR(__xludf.DUMMYFUNCTION("IMPORTRANGE(""https://docs.google.com/spreadsheets/d/1SX6NBoVAgQJ6U1MVXOaj8PK2l7WJ3RER9xtqwdhxkhw/edit?usp=sharing"",""สระบุรี!L279"")"),0)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IFERROR(__xludf.DUMMYFUNCTION("IMPORTRANGE(""https://docs.google.com/spreadsheets/d/1SX6NBoVAgQJ6U1MVXOaj8PK2l7WJ3RER9xtqwdhxkhw/edit?usp=sharing"",""สระบุรี!M279"")"),0)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IFERROR(__xludf.DUMMYFUNCTION("IMPORTRANGE(""https://docs.google.com/spreadsheets/d/1SX6NBoVAgQJ6U1MVXOaj8PK2l7WJ3RER9xtqwdhxkhw/edit?usp=sharing"",""สระบุรี!L280"")"),207560)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IFERROR(__xludf.DUMMYFUNCTION("IMPORTRANGE(""https://docs.google.com/spreadsheets/d/1SX6NBoVAgQJ6U1MVXOaj8PK2l7WJ3RER9xtqwdhxkhw/edit?usp=sharing"",""สระบุรี!M280"")"),207560)</f>
        <v>207560</v>
      </c>
      <c r="O385" s="169">
        <f t="shared" ca="1" si="109"/>
        <v>100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IFERROR(__xludf.DUMMYFUNCTION("IMPORTRANGE(""https://docs.google.com/spreadsheets/d/1SX6NBoVAgQJ6U1MVXOaj8PK2l7WJ3RER9xtqwdhxkhw/edit?usp=sharing"",""สระบุรี!M281"")"),59980)</f>
        <v>59980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IFERROR(__xludf.DUMMYFUNCTION("IMPORTRANGE(""https://docs.google.com/spreadsheets/d/1SX6NBoVAgQJ6U1MVXOaj8PK2l7WJ3RER9xtqwdhxkhw/edit?usp=sharing"",""สระบุรี!M282"")"),125000)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IFERROR(__xludf.DUMMYFUNCTION("IMPORTRANGE(""https://docs.google.com/spreadsheets/d/1SX6NBoVAgQJ6U1MVXOaj8PK2l7WJ3RER9xtqwdhxkhw/edit?usp=sharing"",""สระบุรี!M283"")"),0)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IFERROR(__xludf.DUMMYFUNCTION("IMPORTRANGE(""https://docs.google.com/spreadsheets/d/1SX6NBoVAgQJ6U1MVXOaj8PK2l7WJ3RER9xtqwdhxkhw/edit?usp=sharing"",""สระบุรี!M284"")"),22580)</f>
        <v>22580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IFERROR(__xludf.DUMMYFUNCTION("IMPORTRANGE(""https://docs.google.com/spreadsheets/d/1SX6NBoVAgQJ6U1MVXOaj8PK2l7WJ3RER9xtqwdhxkhw/edit?usp=sharing"",""สระบุรี!J286"")"),0)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IFERROR(__xludf.DUMMYFUNCTION("IMPORTRANGE(""https://docs.google.com/spreadsheets/d/1SX6NBoVAgQJ6U1MVXOaj8PK2l7WJ3RER9xtqwdhxkhw/edit?usp=sharing"",""สระบุรี!J287"")"),1)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IFERROR(__xludf.DUMMYFUNCTION("IMPORTRANGE(""https://docs.google.com/spreadsheets/d/1SX6NBoVAgQJ6U1MVXOaj8PK2l7WJ3RER9xtqwdhxkhw/edit?usp=sharing"",""สระบุรี!J288"")"),1)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IFERROR(__xludf.DUMMYFUNCTION("IMPORTRANGE(""https://docs.google.com/spreadsheets/d/1SX6NBoVAgQJ6U1MVXOaj8PK2l7WJ3RER9xtqwdhxkhw/edit?usp=sharing"",""สระบุรี!J289"")"),1)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IFERROR(__xludf.DUMMYFUNCTION("IMPORTRANGE(""https://docs.google.com/spreadsheets/d/1SX6NBoVAgQJ6U1MVXOaj8PK2l7WJ3RER9xtqwdhxkhw/edit?usp=sharing"",""สระบุรี!I291"")"),20)</f>
        <v>20</v>
      </c>
      <c r="J396" s="198">
        <f ca="1">IFERROR(__xludf.DUMMYFUNCTION("IMPORTRANGE(""https://docs.google.com/spreadsheets/d/1SX6NBoVAgQJ6U1MVXOaj8PK2l7WJ3RER9xtqwdhxkhw/edit?usp=sharing"",""สระบุรี!J291"")"),20)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IFERROR(__xludf.DUMMYFUNCTION("IMPORTRANGE(""https://docs.google.com/spreadsheets/d/1SX6NBoVAgQJ6U1MVXOaj8PK2l7WJ3RER9xtqwdhxkhw/edit?usp=sharing"",""สระบุรี!I292"")"),200)</f>
        <v>200</v>
      </c>
      <c r="J397" s="198">
        <f ca="1">IFERROR(__xludf.DUMMYFUNCTION("IMPORTRANGE(""https://docs.google.com/spreadsheets/d/1SX6NBoVAgQJ6U1MVXOaj8PK2l7WJ3RER9xtqwdhxkhw/edit?usp=sharing"",""สระบุรี!J292"")"),200)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IFERROR(__xludf.DUMMYFUNCTION("IMPORTRANGE(""https://docs.google.com/spreadsheets/d/1SX6NBoVAgQJ6U1MVXOaj8PK2l7WJ3RER9xtqwdhxkhw/edit?usp=sharing"",""สระบุรี!I293"")"),20)</f>
        <v>20</v>
      </c>
      <c r="J398" s="198">
        <f ca="1">IFERROR(__xludf.DUMMYFUNCTION("IMPORTRANGE(""https://docs.google.com/spreadsheets/d/1SX6NBoVAgQJ6U1MVXOaj8PK2l7WJ3RER9xtqwdhxkhw/edit?usp=sharing"",""สระบุรี!J293"")"),20)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IFERROR(__xludf.DUMMYFUNCTION("IMPORTRANGE(""https://docs.google.com/spreadsheets/d/1SX6NBoVAgQJ6U1MVXOaj8PK2l7WJ3RER9xtqwdhxkhw/edit?usp=sharing"",""สระบุรี!J294"")"),0)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IFERROR(__xludf.DUMMYFUNCTION("IMPORTRANGE(""https://docs.google.com/spreadsheets/d/1SX6NBoVAgQJ6U1MVXOaj8PK2l7WJ3RER9xtqwdhxkhw/edit?usp=sharing"",""สระบุรี!J295"")"),0)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IFERROR(__xludf.DUMMYFUNCTION("IMPORTRANGE(""https://docs.google.com/spreadsheets/d/1SX6NBoVAgQJ6U1MVXOaj8PK2l7WJ3RER9xtqwdhxkhw/edit?usp=sharing"",""สระบุรี!I296"")"),90)</f>
        <v>90</v>
      </c>
      <c r="J401" s="371">
        <f ca="1">IFERROR(__xludf.DUMMYFUNCTION("IMPORTRANGE(""https://docs.google.com/spreadsheets/d/1SX6NBoVAgQJ6U1MVXOaj8PK2l7WJ3RER9xtqwdhxkhw/edit?usp=sharing"",""สระบุรี!J296"")"),90)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IFERROR(__xludf.DUMMYFUNCTION("IMPORTRANGE(""https://docs.google.com/spreadsheets/d/1SX6NBoVAgQJ6U1MVXOaj8PK2l7WJ3RER9xtqwdhxkhw/edit?usp=sharing"",""สระบุรี!L296"")"),101920)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IFERROR(__xludf.DUMMYFUNCTION("IMPORTRANGE(""https://docs.google.com/spreadsheets/d/1SX6NBoVAgQJ6U1MVXOaj8PK2l7WJ3RER9xtqwdhxkhw/edit?usp=sharing"",""สระบุรี!M296"")"),81990)</f>
        <v>81990</v>
      </c>
      <c r="O401" s="373">
        <f ca="1">+IF(L401&gt;0,N401*100/L401,0)</f>
        <v>80.44544740973312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IFERROR(__xludf.DUMMYFUNCTION("IMPORTRANGE(""https://docs.google.com/spreadsheets/d/1SX6NBoVAgQJ6U1MVXOaj8PK2l7WJ3RER9xtqwdhxkhw/edit?usp=sharing"",""สระบุรี!I297"")"),30)</f>
        <v>30</v>
      </c>
      <c r="J402" s="371">
        <f ca="1">IFERROR(__xludf.DUMMYFUNCTION("IMPORTRANGE(""https://docs.google.com/spreadsheets/d/1SX6NBoVAgQJ6U1MVXOaj8PK2l7WJ3RER9xtqwdhxkhw/edit?usp=sharing"",""สระบุรี!J297"")"),30)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IFERROR(__xludf.DUMMYFUNCTION("IMPORTRANGE(""https://docs.google.com/spreadsheets/d/1SX6NBoVAgQJ6U1MVXOaj8PK2l7WJ3RER9xtqwdhxkhw/edit?usp=sharing"",""สระบุรี!L298"")"),0)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IFERROR(__xludf.DUMMYFUNCTION("IMPORTRANGE(""https://docs.google.com/spreadsheets/d/1SX6NBoVAgQJ6U1MVXOaj8PK2l7WJ3RER9xtqwdhxkhw/edit?usp=sharing"",""สระบุรี!M298"")"),0)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IFERROR(__xludf.DUMMYFUNCTION("IMPORTRANGE(""https://docs.google.com/spreadsheets/d/1SX6NBoVAgQJ6U1MVXOaj8PK2l7WJ3RER9xtqwdhxkhw/edit?usp=sharing"",""สระบุรี!L299"")"),101920)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IFERROR(__xludf.DUMMYFUNCTION("IMPORTRANGE(""https://docs.google.com/spreadsheets/d/1SX6NBoVAgQJ6U1MVXOaj8PK2l7WJ3RER9xtqwdhxkhw/edit?usp=sharing"",""สระบุรี!M299"")"),81990)</f>
        <v>81990</v>
      </c>
      <c r="O404" s="169">
        <f t="shared" ca="1" si="112"/>
        <v>80.44544740973312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IFERROR(__xludf.DUMMYFUNCTION("IMPORTRANGE(""https://docs.google.com/spreadsheets/d/1SX6NBoVAgQJ6U1MVXOaj8PK2l7WJ3RER9xtqwdhxkhw/edit?usp=sharing"",""สระบุรี!L300"")"),0)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IFERROR(__xludf.DUMMYFUNCTION("IMPORTRANGE(""https://docs.google.com/spreadsheets/d/1SX6NBoVAgQJ6U1MVXOaj8PK2l7WJ3RER9xtqwdhxkhw/edit?usp=sharing"",""สระบุรี!M300"")"),0)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IFERROR(__xludf.DUMMYFUNCTION("IMPORTRANGE(""https://docs.google.com/spreadsheets/d/1SX6NBoVAgQJ6U1MVXOaj8PK2l7WJ3RER9xtqwdhxkhw/edit?usp=sharing"",""สระบุรี!L301"")"),101920)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IFERROR(__xludf.DUMMYFUNCTION("IMPORTRANGE(""https://docs.google.com/spreadsheets/d/1SX6NBoVAgQJ6U1MVXOaj8PK2l7WJ3RER9xtqwdhxkhw/edit?usp=sharing"",""สระบุรี!M301"")"),81990)</f>
        <v>81990</v>
      </c>
      <c r="O406" s="169">
        <f t="shared" ca="1" si="112"/>
        <v>80.44544740973312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IFERROR(__xludf.DUMMYFUNCTION("IMPORTRANGE(""https://docs.google.com/spreadsheets/d/1SX6NBoVAgQJ6U1MVXOaj8PK2l7WJ3RER9xtqwdhxkhw/edit?usp=sharing"",""สระบุรี!M302"")"),57474)</f>
        <v>57474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IFERROR(__xludf.DUMMYFUNCTION("IMPORTRANGE(""https://docs.google.com/spreadsheets/d/1SX6NBoVAgQJ6U1MVXOaj8PK2l7WJ3RER9xtqwdhxkhw/edit?usp=sharing"",""สระบุรี!M303"")"),14000)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IFERROR(__xludf.DUMMYFUNCTION("IMPORTRANGE(""https://docs.google.com/spreadsheets/d/1SX6NBoVAgQJ6U1MVXOaj8PK2l7WJ3RER9xtqwdhxkhw/edit?usp=sharing"",""สระบุรี!M304"")"),0)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IFERROR(__xludf.DUMMYFUNCTION("IMPORTRANGE(""https://docs.google.com/spreadsheets/d/1SX6NBoVAgQJ6U1MVXOaj8PK2l7WJ3RER9xtqwdhxkhw/edit?usp=sharing"",""สระบุรี!M305"")"),10516)</f>
        <v>10516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IFERROR(__xludf.DUMMYFUNCTION("IMPORTRANGE(""https://docs.google.com/spreadsheets/d/1SX6NBoVAgQJ6U1MVXOaj8PK2l7WJ3RER9xtqwdhxkhw/edit?usp=sharing"",""สระบุรี!J307"")"),0)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IFERROR(__xludf.DUMMYFUNCTION("IMPORTRANGE(""https://docs.google.com/spreadsheets/d/1SX6NBoVAgQJ6U1MVXOaj8PK2l7WJ3RER9xtqwdhxkhw/edit?usp=sharing"",""สระบุรี!J308"")"),1)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IFERROR(__xludf.DUMMYFUNCTION("IMPORTRANGE(""https://docs.google.com/spreadsheets/d/1SX6NBoVAgQJ6U1MVXOaj8PK2l7WJ3RER9xtqwdhxkhw/edit?usp=sharing"",""สระบุรี!J309"")"),1)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IFERROR(__xludf.DUMMYFUNCTION("IMPORTRANGE(""https://docs.google.com/spreadsheets/d/1SX6NBoVAgQJ6U1MVXOaj8PK2l7WJ3RER9xtqwdhxkhw/edit?usp=sharing"",""สระบุรี!J310"")"),1)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IFERROR(__xludf.DUMMYFUNCTION("IMPORTRANGE(""https://docs.google.com/spreadsheets/d/1SX6NBoVAgQJ6U1MVXOaj8PK2l7WJ3RER9xtqwdhxkhw/edit?usp=sharing"",""สระบุรี!I311"")"),30)</f>
        <v>30</v>
      </c>
      <c r="J416" s="201">
        <f ca="1">IFERROR(__xludf.DUMMYFUNCTION("IMPORTRANGE(""https://docs.google.com/spreadsheets/d/1SX6NBoVAgQJ6U1MVXOaj8PK2l7WJ3RER9xtqwdhxkhw/edit?usp=sharing"",""สระบุรี!J311"")"),30)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IFERROR(__xludf.DUMMYFUNCTION("IMPORTRANGE(""https://docs.google.com/spreadsheets/d/1SX6NBoVAgQJ6U1MVXOaj8PK2l7WJ3RER9xtqwdhxkhw/edit?usp=sharing"",""สระบุรี!I312"")"),0)</f>
        <v>0</v>
      </c>
      <c r="J417" s="392">
        <f ca="1">IFERROR(__xludf.DUMMYFUNCTION("IMPORTRANGE(""https://docs.google.com/spreadsheets/d/1SX6NBoVAgQJ6U1MVXOaj8PK2l7WJ3RER9xtqwdhxkhw/edit?usp=sharing"",""สระบุรี!J312"")"),0)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IFERROR(__xludf.DUMMYFUNCTION("IMPORTRANGE(""https://docs.google.com/spreadsheets/d/1SX6NBoVAgQJ6U1MVXOaj8PK2l7WJ3RER9xtqwdhxkhw/edit?usp=sharing"",""สระบุรี!I313"")"),0)</f>
        <v>0</v>
      </c>
      <c r="J418" s="393">
        <f ca="1">IFERROR(__xludf.DUMMYFUNCTION("IMPORTRANGE(""https://docs.google.com/spreadsheets/d/1SX6NBoVAgQJ6U1MVXOaj8PK2l7WJ3RER9xtqwdhxkhw/edit?usp=sharing"",""สระบุรี!J313"")"),0)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IFERROR(__xludf.DUMMYFUNCTION("IMPORTRANGE(""https://docs.google.com/spreadsheets/d/1SX6NBoVAgQJ6U1MVXOaj8PK2l7WJ3RER9xtqwdhxkhw/edit?usp=sharing"",""สระบุรี!I314"")"),0)</f>
        <v>0</v>
      </c>
      <c r="J419" s="394">
        <f ca="1">IFERROR(__xludf.DUMMYFUNCTION("IMPORTRANGE(""https://docs.google.com/spreadsheets/d/1SX6NBoVAgQJ6U1MVXOaj8PK2l7WJ3RER9xtqwdhxkhw/edit?usp=sharing"",""สระบุรี!J314"")"),0)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IFERROR(__xludf.DUMMYFUNCTION("IMPORTRANGE(""https://docs.google.com/spreadsheets/d/1SX6NBoVAgQJ6U1MVXOaj8PK2l7WJ3RER9xtqwdhxkhw/edit?usp=sharing"",""สระบุรี!I315"")"),0)</f>
        <v>0</v>
      </c>
      <c r="J420" s="394">
        <f ca="1">IFERROR(__xludf.DUMMYFUNCTION("IMPORTRANGE(""https://docs.google.com/spreadsheets/d/1SX6NBoVAgQJ6U1MVXOaj8PK2l7WJ3RER9xtqwdhxkhw/edit?usp=sharing"",""สระบุรี!J315"")"),0)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IFERROR(__xludf.DUMMYFUNCTION("IMPORTRANGE(""https://docs.google.com/spreadsheets/d/1SX6NBoVAgQJ6U1MVXOaj8PK2l7WJ3RER9xtqwdhxkhw/edit?usp=sharing"",""สระบุรี!I316"")"),20)</f>
        <v>20</v>
      </c>
      <c r="J421" s="392">
        <f ca="1">IFERROR(__xludf.DUMMYFUNCTION("IMPORTRANGE(""https://docs.google.com/spreadsheets/d/1SX6NBoVAgQJ6U1MVXOaj8PK2l7WJ3RER9xtqwdhxkhw/edit?usp=sharing"",""สระบุรี!J316"")"),20)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IFERROR(__xludf.DUMMYFUNCTION("IMPORTRANGE(""https://docs.google.com/spreadsheets/d/1SX6NBoVAgQJ6U1MVXOaj8PK2l7WJ3RER9xtqwdhxkhw/edit?usp=sharing"",""สระบุรี!I317"")"),60)</f>
        <v>60</v>
      </c>
      <c r="J422" s="393">
        <f ca="1">IFERROR(__xludf.DUMMYFUNCTION("IMPORTRANGE(""https://docs.google.com/spreadsheets/d/1SX6NBoVAgQJ6U1MVXOaj8PK2l7WJ3RER9xtqwdhxkhw/edit?usp=sharing"",""สระบุรี!J317"")"),60)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IFERROR(__xludf.DUMMYFUNCTION("IMPORTRANGE(""https://docs.google.com/spreadsheets/d/1SX6NBoVAgQJ6U1MVXOaj8PK2l7WJ3RER9xtqwdhxkhw/edit?usp=sharing"",""สระบุรี!I318"")"),20)</f>
        <v>20</v>
      </c>
      <c r="J423" s="394">
        <f ca="1">IFERROR(__xludf.DUMMYFUNCTION("IMPORTRANGE(""https://docs.google.com/spreadsheets/d/1SX6NBoVAgQJ6U1MVXOaj8PK2l7WJ3RER9xtqwdhxkhw/edit?usp=sharing"",""สระบุรี!J318"")"),20)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IFERROR(__xludf.DUMMYFUNCTION("IMPORTRANGE(""https://docs.google.com/spreadsheets/d/1SX6NBoVAgQJ6U1MVXOaj8PK2l7WJ3RER9xtqwdhxkhw/edit?usp=sharing"",""สระบุรี!I319"")"),20)</f>
        <v>20</v>
      </c>
      <c r="J424" s="394">
        <f ca="1">IFERROR(__xludf.DUMMYFUNCTION("IMPORTRANGE(""https://docs.google.com/spreadsheets/d/1SX6NBoVAgQJ6U1MVXOaj8PK2l7WJ3RER9xtqwdhxkhw/edit?usp=sharing"",""สระบุรี!J319"")"),20)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IFERROR(__xludf.DUMMYFUNCTION("IMPORTRANGE(""https://docs.google.com/spreadsheets/d/1SX6NBoVAgQJ6U1MVXOaj8PK2l7WJ3RER9xtqwdhxkhw/edit?usp=sharing"",""สระบุรี!I320"")"),20)</f>
        <v>20</v>
      </c>
      <c r="J425" s="394">
        <f ca="1">IFERROR(__xludf.DUMMYFUNCTION("IMPORTRANGE(""https://docs.google.com/spreadsheets/d/1SX6NBoVAgQJ6U1MVXOaj8PK2l7WJ3RER9xtqwdhxkhw/edit?usp=sharing"",""สระบุรี!J320"")"),20)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IFERROR(__xludf.DUMMYFUNCTION("IMPORTRANGE(""https://docs.google.com/spreadsheets/d/1SX6NBoVAgQJ6U1MVXOaj8PK2l7WJ3RER9xtqwdhxkhw/edit?usp=sharing"",""สระบุรี!I321"")"),10)</f>
        <v>10</v>
      </c>
      <c r="J426" s="392">
        <f ca="1">IFERROR(__xludf.DUMMYFUNCTION("IMPORTRANGE(""https://docs.google.com/spreadsheets/d/1SX6NBoVAgQJ6U1MVXOaj8PK2l7WJ3RER9xtqwdhxkhw/edit?usp=sharing"",""สระบุรี!J321"")"),10)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IFERROR(__xludf.DUMMYFUNCTION("IMPORTRANGE(""https://docs.google.com/spreadsheets/d/1SX6NBoVAgQJ6U1MVXOaj8PK2l7WJ3RER9xtqwdhxkhw/edit?usp=sharing"",""สระบุรี!I322"")"),30)</f>
        <v>30</v>
      </c>
      <c r="J427" s="393">
        <f ca="1">IFERROR(__xludf.DUMMYFUNCTION("IMPORTRANGE(""https://docs.google.com/spreadsheets/d/1SX6NBoVAgQJ6U1MVXOaj8PK2l7WJ3RER9xtqwdhxkhw/edit?usp=sharing"",""สระบุรี!J322"")"),30)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IFERROR(__xludf.DUMMYFUNCTION("IMPORTRANGE(""https://docs.google.com/spreadsheets/d/1SX6NBoVAgQJ6U1MVXOaj8PK2l7WJ3RER9xtqwdhxkhw/edit?usp=sharing"",""สระบุรี!I323"")"),10)</f>
        <v>10</v>
      </c>
      <c r="J428" s="394">
        <f ca="1">IFERROR(__xludf.DUMMYFUNCTION("IMPORTRANGE(""https://docs.google.com/spreadsheets/d/1SX6NBoVAgQJ6U1MVXOaj8PK2l7WJ3RER9xtqwdhxkhw/edit?usp=sharing"",""สระบุรี!J323"")"),10)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IFERROR(__xludf.DUMMYFUNCTION("IMPORTRANGE(""https://docs.google.com/spreadsheets/d/1SX6NBoVAgQJ6U1MVXOaj8PK2l7WJ3RER9xtqwdhxkhw/edit?usp=sharing"",""สระบุรี!I324"")"),10)</f>
        <v>10</v>
      </c>
      <c r="J429" s="394">
        <f ca="1">IFERROR(__xludf.DUMMYFUNCTION("IMPORTRANGE(""https://docs.google.com/spreadsheets/d/1SX6NBoVAgQJ6U1MVXOaj8PK2l7WJ3RER9xtqwdhxkhw/edit?usp=sharing"",""สระบุรี!J324"")"),10)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IFERROR(__xludf.DUMMYFUNCTION("IMPORTRANGE(""https://docs.google.com/spreadsheets/d/1SX6NBoVAgQJ6U1MVXOaj8PK2l7WJ3RER9xtqwdhxkhw/edit?usp=sharing"",""สระบุรี!I325"")"),20)</f>
        <v>20</v>
      </c>
      <c r="J430" s="392">
        <f ca="1">IFERROR(__xludf.DUMMYFUNCTION("IMPORTRANGE(""https://docs.google.com/spreadsheets/d/1SX6NBoVAgQJ6U1MVXOaj8PK2l7WJ3RER9xtqwdhxkhw/edit?usp=sharing"",""สระบุรี!J325"")"),20)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IFERROR(__xludf.DUMMYFUNCTION("IMPORTRANGE(""https://docs.google.com/spreadsheets/d/1SX6NBoVAgQJ6U1MVXOaj8PK2l7WJ3RER9xtqwdhxkhw/edit?usp=sharing"",""สระบุรี!I326"")"),0)</f>
        <v>0</v>
      </c>
      <c r="J431" s="394">
        <f ca="1">IFERROR(__xludf.DUMMYFUNCTION("IMPORTRANGE(""https://docs.google.com/spreadsheets/d/1SX6NBoVAgQJ6U1MVXOaj8PK2l7WJ3RER9xtqwdhxkhw/edit?usp=sharing"",""สระบุรี!J326"")"),0)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IFERROR(__xludf.DUMMYFUNCTION("IMPORTRANGE(""https://docs.google.com/spreadsheets/d/1SX6NBoVAgQJ6U1MVXOaj8PK2l7WJ3RER9xtqwdhxkhw/edit?usp=sharing"",""สระบุรี!I327"")"),20)</f>
        <v>20</v>
      </c>
      <c r="J432" s="394">
        <f ca="1">IFERROR(__xludf.DUMMYFUNCTION("IMPORTRANGE(""https://docs.google.com/spreadsheets/d/1SX6NBoVAgQJ6U1MVXOaj8PK2l7WJ3RER9xtqwdhxkhw/edit?usp=sharing"",""สระบุรี!J327"")"),20)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IFERROR(__xludf.DUMMYFUNCTION("IMPORTRANGE(""https://docs.google.com/spreadsheets/d/1SX6NBoVAgQJ6U1MVXOaj8PK2l7WJ3RER9xtqwdhxkhw/edit?usp=sharing"",""สระบุรี!J328"")"),0)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IFERROR(__xludf.DUMMYFUNCTION("IMPORTRANGE(""https://docs.google.com/spreadsheets/d/1SX6NBoVAgQJ6U1MVXOaj8PK2l7WJ3RER9xtqwdhxkhw/edit?usp=sharing"",""สระบุรี!J329"")"),0)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IFERROR(__xludf.DUMMYFUNCTION("IMPORTRANGE(""https://docs.google.com/spreadsheets/d/1SX6NBoVAgQJ6U1MVXOaj8PK2l7WJ3RER9xtqwdhxkhw/edit?usp=sharing"",""สระบุรี!I330"")"),15)</f>
        <v>15</v>
      </c>
      <c r="J435" s="410">
        <f ca="1">IFERROR(__xludf.DUMMYFUNCTION("IMPORTRANGE(""https://docs.google.com/spreadsheets/d/1SX6NBoVAgQJ6U1MVXOaj8PK2l7WJ3RER9xtqwdhxkhw/edit?usp=sharing"",""สระบุรี!J330"")"),15)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IFERROR(__xludf.DUMMYFUNCTION("IMPORTRANGE(""https://docs.google.com/spreadsheets/d/1SX6NBoVAgQJ6U1MVXOaj8PK2l7WJ3RER9xtqwdhxkhw/edit?usp=sharing"",""สระบุรี!L330"")"),88000)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IFERROR(__xludf.DUMMYFUNCTION("IMPORTRANGE(""https://docs.google.com/spreadsheets/d/1SX6NBoVAgQJ6U1MVXOaj8PK2l7WJ3RER9xtqwdhxkhw/edit?usp=sharing"",""สระบุรี!M330"")"),63684)</f>
        <v>63684</v>
      </c>
      <c r="O435" s="412">
        <f t="shared" ref="O435:O439" ca="1" si="114">+IF(L435&gt;0,N435*100/L435,0)</f>
        <v>72.368181818181824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IFERROR(__xludf.DUMMYFUNCTION("IMPORTRANGE(""https://docs.google.com/spreadsheets/d/1SX6NBoVAgQJ6U1MVXOaj8PK2l7WJ3RER9xtqwdhxkhw/edit?usp=sharing"",""สระบุรี!L331"")"),0)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IFERROR(__xludf.DUMMYFUNCTION("IMPORTRANGE(""https://docs.google.com/spreadsheets/d/1SX6NBoVAgQJ6U1MVXOaj8PK2l7WJ3RER9xtqwdhxkhw/edit?usp=sharing"",""สระบุรี!M331"")"),0)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IFERROR(__xludf.DUMMYFUNCTION("IMPORTRANGE(""https://docs.google.com/spreadsheets/d/1SX6NBoVAgQJ6U1MVXOaj8PK2l7WJ3RER9xtqwdhxkhw/edit?usp=sharing"",""สระบุรี!L332"")"),88000)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IFERROR(__xludf.DUMMYFUNCTION("IMPORTRANGE(""https://docs.google.com/spreadsheets/d/1SX6NBoVAgQJ6U1MVXOaj8PK2l7WJ3RER9xtqwdhxkhw/edit?usp=sharing"",""สระบุรี!M332"")"),63684)</f>
        <v>63684</v>
      </c>
      <c r="O437" s="169">
        <f t="shared" ca="1" si="114"/>
        <v>72.368181818181824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IFERROR(__xludf.DUMMYFUNCTION("IMPORTRANGE(""https://docs.google.com/spreadsheets/d/1SX6NBoVAgQJ6U1MVXOaj8PK2l7WJ3RER9xtqwdhxkhw/edit?usp=sharing"",""สระบุรี!L333"")"),0)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IFERROR(__xludf.DUMMYFUNCTION("IMPORTRANGE(""https://docs.google.com/spreadsheets/d/1SX6NBoVAgQJ6U1MVXOaj8PK2l7WJ3RER9xtqwdhxkhw/edit?usp=sharing"",""สระบุรี!M333"")"),0)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IFERROR(__xludf.DUMMYFUNCTION("IMPORTRANGE(""https://docs.google.com/spreadsheets/d/1SX6NBoVAgQJ6U1MVXOaj8PK2l7WJ3RER9xtqwdhxkhw/edit?usp=sharing"",""สระบุรี!L334"")"),88000)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IFERROR(__xludf.DUMMYFUNCTION("IMPORTRANGE(""https://docs.google.com/spreadsheets/d/1SX6NBoVAgQJ6U1MVXOaj8PK2l7WJ3RER9xtqwdhxkhw/edit?usp=sharing"",""สระบุรี!M334"")"),63684)</f>
        <v>63684</v>
      </c>
      <c r="O439" s="169">
        <f t="shared" ca="1" si="114"/>
        <v>72.368181818181824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IFERROR(__xludf.DUMMYFUNCTION("IMPORTRANGE(""https://docs.google.com/spreadsheets/d/1SX6NBoVAgQJ6U1MVXOaj8PK2l7WJ3RER9xtqwdhxkhw/edit?usp=sharing"",""สระบุรี!M335"")"),36230)</f>
        <v>36230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IFERROR(__xludf.DUMMYFUNCTION("IMPORTRANGE(""https://docs.google.com/spreadsheets/d/1SX6NBoVAgQJ6U1MVXOaj8PK2l7WJ3RER9xtqwdhxkhw/edit?usp=sharing"",""สระบุรี!M336"")"),0)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IFERROR(__xludf.DUMMYFUNCTION("IMPORTRANGE(""https://docs.google.com/spreadsheets/d/1SX6NBoVAgQJ6U1MVXOaj8PK2l7WJ3RER9xtqwdhxkhw/edit?usp=sharing"",""สระบุรี!M337"")"),0)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IFERROR(__xludf.DUMMYFUNCTION("IMPORTRANGE(""https://docs.google.com/spreadsheets/d/1SX6NBoVAgQJ6U1MVXOaj8PK2l7WJ3RER9xtqwdhxkhw/edit?usp=sharing"",""สระบุรี!M338"")"),27454)</f>
        <v>27454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IFERROR(__xludf.DUMMYFUNCTION("IMPORTRANGE(""https://docs.google.com/spreadsheets/d/1SX6NBoVAgQJ6U1MVXOaj8PK2l7WJ3RER9xtqwdhxkhw/edit?usp=sharing"",""สระบุรี!J340"")"),0)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IFERROR(__xludf.DUMMYFUNCTION("IMPORTRANGE(""https://docs.google.com/spreadsheets/d/1SX6NBoVAgQJ6U1MVXOaj8PK2l7WJ3RER9xtqwdhxkhw/edit?usp=sharing"",""สระบุรี!J341"")"),1)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IFERROR(__xludf.DUMMYFUNCTION("IMPORTRANGE(""https://docs.google.com/spreadsheets/d/1SX6NBoVAgQJ6U1MVXOaj8PK2l7WJ3RER9xtqwdhxkhw/edit?usp=sharing"",""สระบุรี!J342"")"),1)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IFERROR(__xludf.DUMMYFUNCTION("IMPORTRANGE(""https://docs.google.com/spreadsheets/d/1SX6NBoVAgQJ6U1MVXOaj8PK2l7WJ3RER9xtqwdhxkhw/edit?usp=sharing"",""สระบุรี!J343"")"),1)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IFERROR(__xludf.DUMMYFUNCTION("IMPORTRANGE(""https://docs.google.com/spreadsheets/d/1SX6NBoVAgQJ6U1MVXOaj8PK2l7WJ3RER9xtqwdhxkhw/edit?usp=sharing"",""สระบุรี!I344"")"),15)</f>
        <v>15</v>
      </c>
      <c r="J449" s="201">
        <f ca="1">IFERROR(__xludf.DUMMYFUNCTION("IMPORTRANGE(""https://docs.google.com/spreadsheets/d/1SX6NBoVAgQJ6U1MVXOaj8PK2l7WJ3RER9xtqwdhxkhw/edit?usp=sharing"",""สระบุรี!J344"")"),15)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IFERROR(__xludf.DUMMYFUNCTION("IMPORTRANGE(""https://docs.google.com/spreadsheets/d/1SX6NBoVAgQJ6U1MVXOaj8PK2l7WJ3RER9xtqwdhxkhw/edit?usp=sharing"",""สระบุรี!I345"")"),15)</f>
        <v>15</v>
      </c>
      <c r="J450" s="189">
        <f ca="1">IFERROR(__xludf.DUMMYFUNCTION("IMPORTRANGE(""https://docs.google.com/spreadsheets/d/1SX6NBoVAgQJ6U1MVXOaj8PK2l7WJ3RER9xtqwdhxkhw/edit?usp=sharing"",""สระบุรี!J345"")"),15)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IFERROR(__xludf.DUMMYFUNCTION("IMPORTRANGE(""https://docs.google.com/spreadsheets/d/1SX6NBoVAgQJ6U1MVXOaj8PK2l7WJ3RER9xtqwdhxkhw/edit?usp=sharing"",""สระบุรี!I346"")"),0)</f>
        <v>0</v>
      </c>
      <c r="J451" s="188">
        <f ca="1">IFERROR(__xludf.DUMMYFUNCTION("IMPORTRANGE(""https://docs.google.com/spreadsheets/d/1SX6NBoVAgQJ6U1MVXOaj8PK2l7WJ3RER9xtqwdhxkhw/edit?usp=sharing"",""สระบุรี!J346"")"),0)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IFERROR(__xludf.DUMMYFUNCTION("IMPORTRANGE(""https://docs.google.com/spreadsheets/d/1SX6NBoVAgQJ6U1MVXOaj8PK2l7WJ3RER9xtqwdhxkhw/edit?usp=sharing"",""สระบุรี!I347"")"),0)</f>
        <v>0</v>
      </c>
      <c r="J452" s="188">
        <f ca="1">IFERROR(__xludf.DUMMYFUNCTION("IMPORTRANGE(""https://docs.google.com/spreadsheets/d/1SX6NBoVAgQJ6U1MVXOaj8PK2l7WJ3RER9xtqwdhxkhw/edit?usp=sharing"",""สระบุรี!J347"")"),0)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IFERROR(__xludf.DUMMYFUNCTION("IMPORTRANGE(""https://docs.google.com/spreadsheets/d/1SX6NBoVAgQJ6U1MVXOaj8PK2l7WJ3RER9xtqwdhxkhw/edit?usp=sharing"",""สระบุรี!J348"")"),0)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IFERROR(__xludf.DUMMYFUNCTION("IMPORTRANGE(""https://docs.google.com/spreadsheets/d/1SX6NBoVAgQJ6U1MVXOaj8PK2l7WJ3RER9xtqwdhxkhw/edit?usp=sharing"",""สระบุรี!J349"")"),0)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IFERROR(__xludf.DUMMYFUNCTION("IMPORTRANGE(""https://docs.google.com/spreadsheets/d/1SX6NBoVAgQJ6U1MVXOaj8PK2l7WJ3RER9xtqwdhxkhw/edit?usp=sharing"",""สระบุรี!I350"")"),4949)</f>
        <v>4949</v>
      </c>
      <c r="J455" s="371">
        <f ca="1">IFERROR(__xludf.DUMMYFUNCTION("IMPORTRANGE(""https://docs.google.com/spreadsheets/d/1SX6NBoVAgQJ6U1MVXOaj8PK2l7WJ3RER9xtqwdhxkhw/edit?usp=sharing"",""สระบุรี!J350"")"),4949)</f>
        <v>4949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IFERROR(__xludf.DUMMYFUNCTION("IMPORTRANGE(""https://docs.google.com/spreadsheets/d/1SX6NBoVAgQJ6U1MVXOaj8PK2l7WJ3RER9xtqwdhxkhw/edit?usp=sharing"",""สระบุรี!L350"")"),288044)</f>
        <v>288044</v>
      </c>
      <c r="M455" s="373"/>
      <c r="N455" s="373">
        <f ca="1">IFERROR(__xludf.DUMMYFUNCTION("IMPORTRANGE(""https://docs.google.com/spreadsheets/d/1SX6NBoVAgQJ6U1MVXOaj8PK2l7WJ3RER9xtqwdhxkhw/edit?usp=sharing"",""สระบุรี!M350"")"),106649)</f>
        <v>106649</v>
      </c>
      <c r="O455" s="373">
        <f t="shared" ref="O455:O459" ca="1" si="116">+IF(L455&gt;0,N455*100/L455,0)</f>
        <v>37.02524614295038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IFERROR(__xludf.DUMMYFUNCTION("IMPORTRANGE(""https://docs.google.com/spreadsheets/d/1SX6NBoVAgQJ6U1MVXOaj8PK2l7WJ3RER9xtqwdhxkhw/edit?usp=sharing"",""สระบุรี!L351"")"),0)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IFERROR(__xludf.DUMMYFUNCTION("IMPORTRANGE(""https://docs.google.com/spreadsheets/d/1SX6NBoVAgQJ6U1MVXOaj8PK2l7WJ3RER9xtqwdhxkhw/edit?usp=sharing"",""สระบุรี!M351"")"),0)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IFERROR(__xludf.DUMMYFUNCTION("IMPORTRANGE(""https://docs.google.com/spreadsheets/d/1SX6NBoVAgQJ6U1MVXOaj8PK2l7WJ3RER9xtqwdhxkhw/edit?usp=sharing"",""สระบุรี!L352"")"),288044)</f>
        <v>288044</v>
      </c>
      <c r="M457" s="165"/>
      <c r="N457" s="169">
        <f ca="1">IFERROR(__xludf.DUMMYFUNCTION("IMPORTRANGE(""https://docs.google.com/spreadsheets/d/1SX6NBoVAgQJ6U1MVXOaj8PK2l7WJ3RER9xtqwdhxkhw/edit?usp=sharing"",""สระบุรี!M352"")"),106649)</f>
        <v>106649</v>
      </c>
      <c r="O457" s="169">
        <f t="shared" ca="1" si="116"/>
        <v>37.02524614295038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IFERROR(__xludf.DUMMYFUNCTION("IMPORTRANGE(""https://docs.google.com/spreadsheets/d/1SX6NBoVAgQJ6U1MVXOaj8PK2l7WJ3RER9xtqwdhxkhw/edit?usp=sharing"",""สระบุรี!L353"")"),0)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IFERROR(__xludf.DUMMYFUNCTION("IMPORTRANGE(""https://docs.google.com/spreadsheets/d/1SX6NBoVAgQJ6U1MVXOaj8PK2l7WJ3RER9xtqwdhxkhw/edit?usp=sharing"",""สระบุรี!M353"")"),0)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IFERROR(__xludf.DUMMYFUNCTION("IMPORTRANGE(""https://docs.google.com/spreadsheets/d/1SX6NBoVAgQJ6U1MVXOaj8PK2l7WJ3RER9xtqwdhxkhw/edit?usp=sharing"",""สระบุรี!L354"")"),288044)</f>
        <v>288044</v>
      </c>
      <c r="M459" s="169"/>
      <c r="N459" s="169">
        <f ca="1">IFERROR(__xludf.DUMMYFUNCTION("IMPORTRANGE(""https://docs.google.com/spreadsheets/d/1SX6NBoVAgQJ6U1MVXOaj8PK2l7WJ3RER9xtqwdhxkhw/edit?usp=sharing"",""สระบุรี!M354"")"),106649)</f>
        <v>106649</v>
      </c>
      <c r="O459" s="169">
        <f t="shared" ca="1" si="116"/>
        <v>37.02524614295038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IFERROR(__xludf.DUMMYFUNCTION("IMPORTRANGE(""https://docs.google.com/spreadsheets/d/1SX6NBoVAgQJ6U1MVXOaj8PK2l7WJ3RER9xtqwdhxkhw/edit?usp=sharing"",""สระบุรี!M355"")"),0)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IFERROR(__xludf.DUMMYFUNCTION("IMPORTRANGE(""https://docs.google.com/spreadsheets/d/1SX6NBoVAgQJ6U1MVXOaj8PK2l7WJ3RER9xtqwdhxkhw/edit?usp=sharing"",""สระบุรี!M356"")"),0)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IFERROR(__xludf.DUMMYFUNCTION("IMPORTRANGE(""https://docs.google.com/spreadsheets/d/1SX6NBoVAgQJ6U1MVXOaj8PK2l7WJ3RER9xtqwdhxkhw/edit?usp=sharing"",""สระบุรี!M357"")"),0)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IFERROR(__xludf.DUMMYFUNCTION("IMPORTRANGE(""https://docs.google.com/spreadsheets/d/1SX6NBoVAgQJ6U1MVXOaj8PK2l7WJ3RER9xtqwdhxkhw/edit?usp=sharing"",""สระบุรี!M358"")"),106649)</f>
        <v>106649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IFERROR(__xludf.DUMMYFUNCTION("IMPORTRANGE(""https://docs.google.com/spreadsheets/d/1SX6NBoVAgQJ6U1MVXOaj8PK2l7WJ3RER9xtqwdhxkhw/edit?usp=sharing"",""สระบุรี!I359"")"),4949)</f>
        <v>4949</v>
      </c>
      <c r="J464" s="268">
        <f ca="1">IFERROR(__xludf.DUMMYFUNCTION("IMPORTRANGE(""https://docs.google.com/spreadsheets/d/1SX6NBoVAgQJ6U1MVXOaj8PK2l7WJ3RER9xtqwdhxkhw/edit?usp=sharing"",""สระบุรี!J359"")"),4949)</f>
        <v>4949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IFERROR(__xludf.DUMMYFUNCTION("IMPORTRANGE(""https://docs.google.com/spreadsheets/d/1SX6NBoVAgQJ6U1MVXOaj8PK2l7WJ3RER9xtqwdhxkhw/edit?usp=sharing"",""สระบุรี!I360"")"),4949)</f>
        <v>4949</v>
      </c>
      <c r="J465" s="420">
        <f ca="1">IFERROR(__xludf.DUMMYFUNCTION("IMPORTRANGE(""https://docs.google.com/spreadsheets/d/1SX6NBoVAgQJ6U1MVXOaj8PK2l7WJ3RER9xtqwdhxkhw/edit?usp=sharing"",""สระบุรี!J360"")"),4949)</f>
        <v>4949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IFERROR(__xludf.DUMMYFUNCTION("IMPORTRANGE(""https://docs.google.com/spreadsheets/d/1SX6NBoVAgQJ6U1MVXOaj8PK2l7WJ3RER9xtqwdhxkhw/edit?usp=sharing"",""สระบุรี!I361"")"),856)</f>
        <v>856</v>
      </c>
      <c r="J466" s="420">
        <f ca="1">IFERROR(__xludf.DUMMYFUNCTION("IMPORTRANGE(""https://docs.google.com/spreadsheets/d/1SX6NBoVAgQJ6U1MVXOaj8PK2l7WJ3RER9xtqwdhxkhw/edit?usp=sharing"",""สระบุรี!J361"")"),856)</f>
        <v>856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IFERROR(__xludf.DUMMYFUNCTION("IMPORTRANGE(""https://docs.google.com/spreadsheets/d/1SX6NBoVAgQJ6U1MVXOaj8PK2l7WJ3RER9xtqwdhxkhw/edit?usp=sharing"",""สระบุรี!I362"")"),0)</f>
        <v>0</v>
      </c>
      <c r="J467" s="189">
        <f ca="1">IFERROR(__xludf.DUMMYFUNCTION("IMPORTRANGE(""https://docs.google.com/spreadsheets/d/1SX6NBoVAgQJ6U1MVXOaj8PK2l7WJ3RER9xtqwdhxkhw/edit?usp=sharing"",""สระบุรี!J362"")"),3335)</f>
        <v>3335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IFERROR(__xludf.DUMMYFUNCTION("IMPORTRANGE(""https://docs.google.com/spreadsheets/d/1SX6NBoVAgQJ6U1MVXOaj8PK2l7WJ3RER9xtqwdhxkhw/edit?usp=sharing"",""สระบุรี!I363"")"),0)</f>
        <v>0</v>
      </c>
      <c r="J468" s="189">
        <f ca="1">IFERROR(__xludf.DUMMYFUNCTION("IMPORTRANGE(""https://docs.google.com/spreadsheets/d/1SX6NBoVAgQJ6U1MVXOaj8PK2l7WJ3RER9xtqwdhxkhw/edit?usp=sharing"",""สระบุรี!J363"")"),600)</f>
        <v>600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IFERROR(__xludf.DUMMYFUNCTION("IMPORTRANGE(""https://docs.google.com/spreadsheets/d/1SX6NBoVAgQJ6U1MVXOaj8PK2l7WJ3RER9xtqwdhxkhw/edit?usp=sharing"",""สระบุรี!I364"")"),0)</f>
        <v>0</v>
      </c>
      <c r="J469" s="189">
        <f ca="1">IFERROR(__xludf.DUMMYFUNCTION("IMPORTRANGE(""https://docs.google.com/spreadsheets/d/1SX6NBoVAgQJ6U1MVXOaj8PK2l7WJ3RER9xtqwdhxkhw/edit?usp=sharing"",""สระบุรี!J364"")"),634)</f>
        <v>634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IFERROR(__xludf.DUMMYFUNCTION("IMPORTRANGE(""https://docs.google.com/spreadsheets/d/1SX6NBoVAgQJ6U1MVXOaj8PK2l7WJ3RER9xtqwdhxkhw/edit?usp=sharing"",""สระบุรี!I365"")"),0)</f>
        <v>0</v>
      </c>
      <c r="J470" s="189">
        <f ca="1">IFERROR(__xludf.DUMMYFUNCTION("IMPORTRANGE(""https://docs.google.com/spreadsheets/d/1SX6NBoVAgQJ6U1MVXOaj8PK2l7WJ3RER9xtqwdhxkhw/edit?usp=sharing"",""สระบุรี!J365"")"),123)</f>
        <v>123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IFERROR(__xludf.DUMMYFUNCTION("IMPORTRANGE(""https://docs.google.com/spreadsheets/d/1SX6NBoVAgQJ6U1MVXOaj8PK2l7WJ3RER9xtqwdhxkhw/edit?usp=sharing"",""สระบุรี!I366"")"),0)</f>
        <v>0</v>
      </c>
      <c r="J471" s="189">
        <f ca="1">IFERROR(__xludf.DUMMYFUNCTION("IMPORTRANGE(""https://docs.google.com/spreadsheets/d/1SX6NBoVAgQJ6U1MVXOaj8PK2l7WJ3RER9xtqwdhxkhw/edit?usp=sharing"",""สระบุรี!J366"")"),980)</f>
        <v>980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IFERROR(__xludf.DUMMYFUNCTION("IMPORTRANGE(""https://docs.google.com/spreadsheets/d/1SX6NBoVAgQJ6U1MVXOaj8PK2l7WJ3RER9xtqwdhxkhw/edit?usp=sharing"",""สระบุรี!I367"")"),0)</f>
        <v>0</v>
      </c>
      <c r="J472" s="189">
        <f ca="1">IFERROR(__xludf.DUMMYFUNCTION("IMPORTRANGE(""https://docs.google.com/spreadsheets/d/1SX6NBoVAgQJ6U1MVXOaj8PK2l7WJ3RER9xtqwdhxkhw/edit?usp=sharing"",""สระบุรี!J367"")"),133)</f>
        <v>133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IFERROR(__xludf.DUMMYFUNCTION("IMPORTRANGE(""https://docs.google.com/spreadsheets/d/1SX6NBoVAgQJ6U1MVXOaj8PK2l7WJ3RER9xtqwdhxkhw/edit?usp=sharing"",""สระบุรี!I368"")"),4949)</f>
        <v>4949</v>
      </c>
      <c r="J473" s="420">
        <f ca="1">IFERROR(__xludf.DUMMYFUNCTION("IMPORTRANGE(""https://docs.google.com/spreadsheets/d/1SX6NBoVAgQJ6U1MVXOaj8PK2l7WJ3RER9xtqwdhxkhw/edit?usp=sharing"",""สระบุรี!J368"")"),4949)</f>
        <v>4949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IFERROR(__xludf.DUMMYFUNCTION("IMPORTRANGE(""https://docs.google.com/spreadsheets/d/1SX6NBoVAgQJ6U1MVXOaj8PK2l7WJ3RER9xtqwdhxkhw/edit?usp=sharing"",""สระบุรี!I369"")"),856)</f>
        <v>856</v>
      </c>
      <c r="J474" s="420">
        <f ca="1">IFERROR(__xludf.DUMMYFUNCTION("IMPORTRANGE(""https://docs.google.com/spreadsheets/d/1SX6NBoVAgQJ6U1MVXOaj8PK2l7WJ3RER9xtqwdhxkhw/edit?usp=sharing"",""สระบุรี!J369"")"),856)</f>
        <v>856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IFERROR(__xludf.DUMMYFUNCTION("IMPORTRANGE(""https://docs.google.com/spreadsheets/d/1SX6NBoVAgQJ6U1MVXOaj8PK2l7WJ3RER9xtqwdhxkhw/edit?usp=sharing"",""สระบุรี!I370"")"),0)</f>
        <v>0</v>
      </c>
      <c r="J475" s="189">
        <f ca="1">IFERROR(__xludf.DUMMYFUNCTION("IMPORTRANGE(""https://docs.google.com/spreadsheets/d/1SX6NBoVAgQJ6U1MVXOaj8PK2l7WJ3RER9xtqwdhxkhw/edit?usp=sharing"",""สระบุรี!J370"")"),3351)</f>
        <v>3351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IFERROR(__xludf.DUMMYFUNCTION("IMPORTRANGE(""https://docs.google.com/spreadsheets/d/1SX6NBoVAgQJ6U1MVXOaj8PK2l7WJ3RER9xtqwdhxkhw/edit?usp=sharing"",""สระบุรี!I371"")"),0)</f>
        <v>0</v>
      </c>
      <c r="J476" s="189">
        <f ca="1">IFERROR(__xludf.DUMMYFUNCTION("IMPORTRANGE(""https://docs.google.com/spreadsheets/d/1SX6NBoVAgQJ6U1MVXOaj8PK2l7WJ3RER9xtqwdhxkhw/edit?usp=sharing"",""สระบุรี!J371"")"),605)</f>
        <v>605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IFERROR(__xludf.DUMMYFUNCTION("IMPORTRANGE(""https://docs.google.com/spreadsheets/d/1SX6NBoVAgQJ6U1MVXOaj8PK2l7WJ3RER9xtqwdhxkhw/edit?usp=sharing"",""สระบุรี!I372"")"),0)</f>
        <v>0</v>
      </c>
      <c r="J477" s="189">
        <f ca="1">IFERROR(__xludf.DUMMYFUNCTION("IMPORTRANGE(""https://docs.google.com/spreadsheets/d/1SX6NBoVAgQJ6U1MVXOaj8PK2l7WJ3RER9xtqwdhxkhw/edit?usp=sharing"",""สระบุรี!J372"")"),618)</f>
        <v>618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IFERROR(__xludf.DUMMYFUNCTION("IMPORTRANGE(""https://docs.google.com/spreadsheets/d/1SX6NBoVAgQJ6U1MVXOaj8PK2l7WJ3RER9xtqwdhxkhw/edit?usp=sharing"",""สระบุรี!I373"")"),0)</f>
        <v>0</v>
      </c>
      <c r="J478" s="189">
        <f ca="1">IFERROR(__xludf.DUMMYFUNCTION("IMPORTRANGE(""https://docs.google.com/spreadsheets/d/1SX6NBoVAgQJ6U1MVXOaj8PK2l7WJ3RER9xtqwdhxkhw/edit?usp=sharing"",""สระบุรี!J373"")"),118)</f>
        <v>118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IFERROR(__xludf.DUMMYFUNCTION("IMPORTRANGE(""https://docs.google.com/spreadsheets/d/1SX6NBoVAgQJ6U1MVXOaj8PK2l7WJ3RER9xtqwdhxkhw/edit?usp=sharing"",""สระบุรี!I374"")"),0)</f>
        <v>0</v>
      </c>
      <c r="J479" s="189">
        <f ca="1">IFERROR(__xludf.DUMMYFUNCTION("IMPORTRANGE(""https://docs.google.com/spreadsheets/d/1SX6NBoVAgQJ6U1MVXOaj8PK2l7WJ3RER9xtqwdhxkhw/edit?usp=sharing"",""สระบุรี!J374"")"),980)</f>
        <v>980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IFERROR(__xludf.DUMMYFUNCTION("IMPORTRANGE(""https://docs.google.com/spreadsheets/d/1SX6NBoVAgQJ6U1MVXOaj8PK2l7WJ3RER9xtqwdhxkhw/edit?usp=sharing"",""สระบุรี!I375"")"),0)</f>
        <v>0</v>
      </c>
      <c r="J480" s="189">
        <f ca="1">IFERROR(__xludf.DUMMYFUNCTION("IMPORTRANGE(""https://docs.google.com/spreadsheets/d/1SX6NBoVAgQJ6U1MVXOaj8PK2l7WJ3RER9xtqwdhxkhw/edit?usp=sharing"",""สระบุรี!J375"")"),133)</f>
        <v>133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IFERROR(__xludf.DUMMYFUNCTION("IMPORTRANGE(""https://docs.google.com/spreadsheets/d/1SX6NBoVAgQJ6U1MVXOaj8PK2l7WJ3RER9xtqwdhxkhw/edit?usp=sharing"",""สระบุรี!I376"")"),4949)</f>
        <v>4949</v>
      </c>
      <c r="J481" s="420">
        <f ca="1">IFERROR(__xludf.DUMMYFUNCTION("IMPORTRANGE(""https://docs.google.com/spreadsheets/d/1SX6NBoVAgQJ6U1MVXOaj8PK2l7WJ3RER9xtqwdhxkhw/edit?usp=sharing"",""สระบุรี!J376"")"),4949)</f>
        <v>4949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IFERROR(__xludf.DUMMYFUNCTION("IMPORTRANGE(""https://docs.google.com/spreadsheets/d/1SX6NBoVAgQJ6U1MVXOaj8PK2l7WJ3RER9xtqwdhxkhw/edit?usp=sharing"",""สระบุรี!I377"")"),856)</f>
        <v>856</v>
      </c>
      <c r="J482" s="420">
        <f ca="1">IFERROR(__xludf.DUMMYFUNCTION("IMPORTRANGE(""https://docs.google.com/spreadsheets/d/1SX6NBoVAgQJ6U1MVXOaj8PK2l7WJ3RER9xtqwdhxkhw/edit?usp=sharing"",""สระบุรี!J377"")"),856)</f>
        <v>856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IFERROR(__xludf.DUMMYFUNCTION("IMPORTRANGE(""https://docs.google.com/spreadsheets/d/1SX6NBoVAgQJ6U1MVXOaj8PK2l7WJ3RER9xtqwdhxkhw/edit?usp=sharing"",""สระบุรี!I378"")"),0)</f>
        <v>0</v>
      </c>
      <c r="J483" s="189">
        <f ca="1">IFERROR(__xludf.DUMMYFUNCTION("IMPORTRANGE(""https://docs.google.com/spreadsheets/d/1SX6NBoVAgQJ6U1MVXOaj8PK2l7WJ3RER9xtqwdhxkhw/edit?usp=sharing"",""สระบุรี!J378"")"),3351)</f>
        <v>3351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IFERROR(__xludf.DUMMYFUNCTION("IMPORTRANGE(""https://docs.google.com/spreadsheets/d/1SX6NBoVAgQJ6U1MVXOaj8PK2l7WJ3RER9xtqwdhxkhw/edit?usp=sharing"",""สระบุรี!I379"")"),0)</f>
        <v>0</v>
      </c>
      <c r="J484" s="189">
        <f ca="1">IFERROR(__xludf.DUMMYFUNCTION("IMPORTRANGE(""https://docs.google.com/spreadsheets/d/1SX6NBoVAgQJ6U1MVXOaj8PK2l7WJ3RER9xtqwdhxkhw/edit?usp=sharing"",""สระบุรี!J379"")"),605)</f>
        <v>605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IFERROR(__xludf.DUMMYFUNCTION("IMPORTRANGE(""https://docs.google.com/spreadsheets/d/1SX6NBoVAgQJ6U1MVXOaj8PK2l7WJ3RER9xtqwdhxkhw/edit?usp=sharing"",""สระบุรี!I380"")"),0)</f>
        <v>0</v>
      </c>
      <c r="J485" s="189">
        <f ca="1">IFERROR(__xludf.DUMMYFUNCTION("IMPORTRANGE(""https://docs.google.com/spreadsheets/d/1SX6NBoVAgQJ6U1MVXOaj8PK2l7WJ3RER9xtqwdhxkhw/edit?usp=sharing"",""สระบุรี!J380"")"),618)</f>
        <v>618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IFERROR(__xludf.DUMMYFUNCTION("IMPORTRANGE(""https://docs.google.com/spreadsheets/d/1SX6NBoVAgQJ6U1MVXOaj8PK2l7WJ3RER9xtqwdhxkhw/edit?usp=sharing"",""สระบุรี!I381"")"),0)</f>
        <v>0</v>
      </c>
      <c r="J486" s="189">
        <f ca="1">IFERROR(__xludf.DUMMYFUNCTION("IMPORTRANGE(""https://docs.google.com/spreadsheets/d/1SX6NBoVAgQJ6U1MVXOaj8PK2l7WJ3RER9xtqwdhxkhw/edit?usp=sharing"",""สระบุรี!J381"")"),118)</f>
        <v>118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IFERROR(__xludf.DUMMYFUNCTION("IMPORTRANGE(""https://docs.google.com/spreadsheets/d/1SX6NBoVAgQJ6U1MVXOaj8PK2l7WJ3RER9xtqwdhxkhw/edit?usp=sharing"",""สระบุรี!I382"")"),0)</f>
        <v>0</v>
      </c>
      <c r="J487" s="420">
        <f ca="1">IFERROR(__xludf.DUMMYFUNCTION("IMPORTRANGE(""https://docs.google.com/spreadsheets/d/1SX6NBoVAgQJ6U1MVXOaj8PK2l7WJ3RER9xtqwdhxkhw/edit?usp=sharing"",""สระบุรี!J382"")"),980)</f>
        <v>980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IFERROR(__xludf.DUMMYFUNCTION("IMPORTRANGE(""https://docs.google.com/spreadsheets/d/1SX6NBoVAgQJ6U1MVXOaj8PK2l7WJ3RER9xtqwdhxkhw/edit?usp=sharing"",""สระบุรี!I383"")"),0)</f>
        <v>0</v>
      </c>
      <c r="J488" s="420">
        <f ca="1">IFERROR(__xludf.DUMMYFUNCTION("IMPORTRANGE(""https://docs.google.com/spreadsheets/d/1SX6NBoVAgQJ6U1MVXOaj8PK2l7WJ3RER9xtqwdhxkhw/edit?usp=sharing"",""สระบุรี!J383"")"),133)</f>
        <v>133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IFERROR(__xludf.DUMMYFUNCTION("IMPORTRANGE(""https://docs.google.com/spreadsheets/d/1SX6NBoVAgQJ6U1MVXOaj8PK2l7WJ3RER9xtqwdhxkhw/edit?usp=sharing"",""สระบุรี!I384"")"),0)</f>
        <v>0</v>
      </c>
      <c r="J489" s="189">
        <f ca="1">IFERROR(__xludf.DUMMYFUNCTION("IMPORTRANGE(""https://docs.google.com/spreadsheets/d/1SX6NBoVAgQJ6U1MVXOaj8PK2l7WJ3RER9xtqwdhxkhw/edit?usp=sharing"",""สระบุรี!J384"")"),958)</f>
        <v>958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IFERROR(__xludf.DUMMYFUNCTION("IMPORTRANGE(""https://docs.google.com/spreadsheets/d/1SX6NBoVAgQJ6U1MVXOaj8PK2l7WJ3RER9xtqwdhxkhw/edit?usp=sharing"",""สระบุรี!I385"")"),0)</f>
        <v>0</v>
      </c>
      <c r="J490" s="189">
        <f ca="1">IFERROR(__xludf.DUMMYFUNCTION("IMPORTRANGE(""https://docs.google.com/spreadsheets/d/1SX6NBoVAgQJ6U1MVXOaj8PK2l7WJ3RER9xtqwdhxkhw/edit?usp=sharing"",""สระบุรี!J385"")"),130)</f>
        <v>130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IFERROR(__xludf.DUMMYFUNCTION("IMPORTRANGE(""https://docs.google.com/spreadsheets/d/1SX6NBoVAgQJ6U1MVXOaj8PK2l7WJ3RER9xtqwdhxkhw/edit?usp=sharing"",""สระบุรี!I386"")"),0)</f>
        <v>0</v>
      </c>
      <c r="J491" s="189">
        <f ca="1">IFERROR(__xludf.DUMMYFUNCTION("IMPORTRANGE(""https://docs.google.com/spreadsheets/d/1SX6NBoVAgQJ6U1MVXOaj8PK2l7WJ3RER9xtqwdhxkhw/edit?usp=sharing"",""สระบุรี!J386"")"),22)</f>
        <v>22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IFERROR(__xludf.DUMMYFUNCTION("IMPORTRANGE(""https://docs.google.com/spreadsheets/d/1SX6NBoVAgQJ6U1MVXOaj8PK2l7WJ3RER9xtqwdhxkhw/edit?usp=sharing"",""สระบุรี!I387"")"),0)</f>
        <v>0</v>
      </c>
      <c r="J492" s="189">
        <f ca="1">IFERROR(__xludf.DUMMYFUNCTION("IMPORTRANGE(""https://docs.google.com/spreadsheets/d/1SX6NBoVAgQJ6U1MVXOaj8PK2l7WJ3RER9xtqwdhxkhw/edit?usp=sharing"",""สระบุรี!J387"")"),3)</f>
        <v>3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IFERROR(__xludf.DUMMYFUNCTION("IMPORTRANGE(""https://docs.google.com/spreadsheets/d/1SX6NBoVAgQJ6U1MVXOaj8PK2l7WJ3RER9xtqwdhxkhw/edit?usp=sharing"",""สระบุรี!I388"")"),0)</f>
        <v>0</v>
      </c>
      <c r="J493" s="189">
        <f ca="1">IFERROR(__xludf.DUMMYFUNCTION("IMPORTRANGE(""https://docs.google.com/spreadsheets/d/1SX6NBoVAgQJ6U1MVXOaj8PK2l7WJ3RER9xtqwdhxkhw/edit?usp=sharing"",""สระบุรี!J388"")"),0)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IFERROR(__xludf.DUMMYFUNCTION("IMPORTRANGE(""https://docs.google.com/spreadsheets/d/1SX6NBoVAgQJ6U1MVXOaj8PK2l7WJ3RER9xtqwdhxkhw/edit?usp=sharing"",""สระบุรี!I389"")"),0)</f>
        <v>0</v>
      </c>
      <c r="J494" s="436">
        <f ca="1">IFERROR(__xludf.DUMMYFUNCTION("IMPORTRANGE(""https://docs.google.com/spreadsheets/d/1SX6NBoVAgQJ6U1MVXOaj8PK2l7WJ3RER9xtqwdhxkhw/edit?usp=sharing"",""สระบุรี!J389"")"),0)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IFERROR(__xludf.DUMMYFUNCTION("IMPORTRANGE(""https://docs.google.com/spreadsheets/d/1SX6NBoVAgQJ6U1MVXOaj8PK2l7WJ3RER9xtqwdhxkhw/edit?usp=sharing"",""สระบุรี!I390"")"),0)</f>
        <v>0</v>
      </c>
      <c r="J495" s="436">
        <f ca="1">IFERROR(__xludf.DUMMYFUNCTION("IMPORTRANGE(""https://docs.google.com/spreadsheets/d/1SX6NBoVAgQJ6U1MVXOaj8PK2l7WJ3RER9xtqwdhxkhw/edit?usp=sharing"",""สระบุรี!J390"")"),0)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IFERROR(__xludf.DUMMYFUNCTION("IMPORTRANGE(""https://docs.google.com/spreadsheets/d/1SX6NBoVAgQJ6U1MVXOaj8PK2l7WJ3RER9xtqwdhxkhw/edit?usp=sharing"",""สระบุรี!I391"")"),0)</f>
        <v>0</v>
      </c>
      <c r="J496" s="436">
        <f ca="1">IFERROR(__xludf.DUMMYFUNCTION("IMPORTRANGE(""https://docs.google.com/spreadsheets/d/1SX6NBoVAgQJ6U1MVXOaj8PK2l7WJ3RER9xtqwdhxkhw/edit?usp=sharing"",""สระบุรี!J391"")"),0)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IFERROR(__xludf.DUMMYFUNCTION("IMPORTRANGE(""https://docs.google.com/spreadsheets/d/1SX6NBoVAgQJ6U1MVXOaj8PK2l7WJ3RER9xtqwdhxkhw/edit?usp=sharing"",""สระบุรี!I392"")"),11105)</f>
        <v>11105</v>
      </c>
      <c r="J497" s="443">
        <f ca="1">IFERROR(__xludf.DUMMYFUNCTION("IMPORTRANGE(""https://docs.google.com/spreadsheets/d/1SX6NBoVAgQJ6U1MVXOaj8PK2l7WJ3RER9xtqwdhxkhw/edit?usp=sharing"",""สระบุรี!J392"")"),0)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IFERROR(__xludf.DUMMYFUNCTION("IMPORTRANGE(""https://docs.google.com/spreadsheets/d/1SX6NBoVAgQJ6U1MVXOaj8PK2l7WJ3RER9xtqwdhxkhw/edit?usp=sharing"",""สระบุรี!I393"")"),11105)</f>
        <v>11105</v>
      </c>
      <c r="J498" s="420">
        <f ca="1">IFERROR(__xludf.DUMMYFUNCTION("IMPORTRANGE(""https://docs.google.com/spreadsheets/d/1SX6NBoVAgQJ6U1MVXOaj8PK2l7WJ3RER9xtqwdhxkhw/edit?usp=sharing"",""สระบุรี!J393"")"),0)</f>
        <v>0</v>
      </c>
      <c r="K498" s="202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IFERROR(__xludf.DUMMYFUNCTION("IMPORTRANGE(""https://docs.google.com/spreadsheets/d/1SX6NBoVAgQJ6U1MVXOaj8PK2l7WJ3RER9xtqwdhxkhw/edit?usp=sharing"",""สระบุรี!I394"")"),515)</f>
        <v>515</v>
      </c>
      <c r="J499" s="420">
        <f ca="1">IFERROR(__xludf.DUMMYFUNCTION("IMPORTRANGE(""https://docs.google.com/spreadsheets/d/1SX6NBoVAgQJ6U1MVXOaj8PK2l7WJ3RER9xtqwdhxkhw/edit?usp=sharing"",""สระบุรี!J394"")"),0)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IFERROR(__xludf.DUMMYFUNCTION("IMPORTRANGE(""https://docs.google.com/spreadsheets/d/1SX6NBoVAgQJ6U1MVXOaj8PK2l7WJ3RER9xtqwdhxkhw/edit?usp=sharing"",""สระบุรี!I395"")"),0)</f>
        <v>0</v>
      </c>
      <c r="J500" s="162">
        <f ca="1">IFERROR(__xludf.DUMMYFUNCTION("IMPORTRANGE(""https://docs.google.com/spreadsheets/d/1SX6NBoVAgQJ6U1MVXOaj8PK2l7WJ3RER9xtqwdhxkhw/edit?usp=sharing"",""สระบุรี!J395"")"),0)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IFERROR(__xludf.DUMMYFUNCTION("IMPORTRANGE(""https://docs.google.com/spreadsheets/d/1SX6NBoVAgQJ6U1MVXOaj8PK2l7WJ3RER9xtqwdhxkhw/edit?usp=sharing"",""สระบุรี!I396"")"),0)</f>
        <v>0</v>
      </c>
      <c r="J501" s="162">
        <f ca="1">IFERROR(__xludf.DUMMYFUNCTION("IMPORTRANGE(""https://docs.google.com/spreadsheets/d/1SX6NBoVAgQJ6U1MVXOaj8PK2l7WJ3RER9xtqwdhxkhw/edit?usp=sharing"",""สระบุรี!J396"")"),0)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IFERROR(__xludf.DUMMYFUNCTION("IMPORTRANGE(""https://docs.google.com/spreadsheets/d/1SX6NBoVAgQJ6U1MVXOaj8PK2l7WJ3RER9xtqwdhxkhw/edit?usp=sharing"",""สระบุรี!I397"")"),0)</f>
        <v>0</v>
      </c>
      <c r="J502" s="189">
        <f ca="1">IFERROR(__xludf.DUMMYFUNCTION("IMPORTRANGE(""https://docs.google.com/spreadsheets/d/1SX6NBoVAgQJ6U1MVXOaj8PK2l7WJ3RER9xtqwdhxkhw/edit?usp=sharing"",""สระบุรี!J397"")"),0)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IFERROR(__xludf.DUMMYFUNCTION("IMPORTRANGE(""https://docs.google.com/spreadsheets/d/1SX6NBoVAgQJ6U1MVXOaj8PK2l7WJ3RER9xtqwdhxkhw/edit?usp=sharing"",""สระบุรี!I398"")"),0)</f>
        <v>0</v>
      </c>
      <c r="J503" s="198">
        <f ca="1">IFERROR(__xludf.DUMMYFUNCTION("IMPORTRANGE(""https://docs.google.com/spreadsheets/d/1SX6NBoVAgQJ6U1MVXOaj8PK2l7WJ3RER9xtqwdhxkhw/edit?usp=sharing"",""สระบุรี!J398"")"),0)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IFERROR(__xludf.DUMMYFUNCTION("IMPORTRANGE(""https://docs.google.com/spreadsheets/d/1SX6NBoVAgQJ6U1MVXOaj8PK2l7WJ3RER9xtqwdhxkhw/edit?usp=sharing"",""สระบุรี!I399"")"),0)</f>
        <v>0</v>
      </c>
      <c r="J504" s="189">
        <f ca="1">IFERROR(__xludf.DUMMYFUNCTION("IMPORTRANGE(""https://docs.google.com/spreadsheets/d/1SX6NBoVAgQJ6U1MVXOaj8PK2l7WJ3RER9xtqwdhxkhw/edit?usp=sharing"",""สระบุรี!J399"")"),0)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IFERROR(__xludf.DUMMYFUNCTION("IMPORTRANGE(""https://docs.google.com/spreadsheets/d/1SX6NBoVAgQJ6U1MVXOaj8PK2l7WJ3RER9xtqwdhxkhw/edit?usp=sharing"",""สระบุรี!I400"")"),0)</f>
        <v>0</v>
      </c>
      <c r="J505" s="198">
        <f ca="1">IFERROR(__xludf.DUMMYFUNCTION("IMPORTRANGE(""https://docs.google.com/spreadsheets/d/1SX6NBoVAgQJ6U1MVXOaj8PK2l7WJ3RER9xtqwdhxkhw/edit?usp=sharing"",""สระบุรี!J400"")"),0)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IFERROR(__xludf.DUMMYFUNCTION("IMPORTRANGE(""https://docs.google.com/spreadsheets/d/1SX6NBoVAgQJ6U1MVXOaj8PK2l7WJ3RER9xtqwdhxkhw/edit?usp=sharing"",""สระบุรี!I401"")"),0)</f>
        <v>0</v>
      </c>
      <c r="J506" s="189">
        <f ca="1">IFERROR(__xludf.DUMMYFUNCTION("IMPORTRANGE(""https://docs.google.com/spreadsheets/d/1SX6NBoVAgQJ6U1MVXOaj8PK2l7WJ3RER9xtqwdhxkhw/edit?usp=sharing"",""สระบุรี!J401"")"),0)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IFERROR(__xludf.DUMMYFUNCTION("IMPORTRANGE(""https://docs.google.com/spreadsheets/d/1SX6NBoVAgQJ6U1MVXOaj8PK2l7WJ3RER9xtqwdhxkhw/edit?usp=sharing"",""สระบุรี!I402"")"),0)</f>
        <v>0</v>
      </c>
      <c r="J507" s="198">
        <f ca="1">IFERROR(__xludf.DUMMYFUNCTION("IMPORTRANGE(""https://docs.google.com/spreadsheets/d/1SX6NBoVAgQJ6U1MVXOaj8PK2l7WJ3RER9xtqwdhxkhw/edit?usp=sharing"",""สระบุรี!J402"")"),0)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IFERROR(__xludf.DUMMYFUNCTION("IMPORTRANGE(""https://docs.google.com/spreadsheets/d/1SX6NBoVAgQJ6U1MVXOaj8PK2l7WJ3RER9xtqwdhxkhw/edit?usp=sharing"",""สระบุรี!I403"")"),0)</f>
        <v>0</v>
      </c>
      <c r="J508" s="162">
        <f ca="1">IFERROR(__xludf.DUMMYFUNCTION("IMPORTRANGE(""https://docs.google.com/spreadsheets/d/1SX6NBoVAgQJ6U1MVXOaj8PK2l7WJ3RER9xtqwdhxkhw/edit?usp=sharing"",""สระบุรี!J403"")"),0)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IFERROR(__xludf.DUMMYFUNCTION("IMPORTRANGE(""https://docs.google.com/spreadsheets/d/1SX6NBoVAgQJ6U1MVXOaj8PK2l7WJ3RER9xtqwdhxkhw/edit?usp=sharing"",""สระบุรี!I404"")"),0)</f>
        <v>0</v>
      </c>
      <c r="J509" s="162">
        <f ca="1">IFERROR(__xludf.DUMMYFUNCTION("IMPORTRANGE(""https://docs.google.com/spreadsheets/d/1SX6NBoVAgQJ6U1MVXOaj8PK2l7WJ3RER9xtqwdhxkhw/edit?usp=sharing"",""สระบุรี!J404"")"),0)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IFERROR(__xludf.DUMMYFUNCTION("IMPORTRANGE(""https://docs.google.com/spreadsheets/d/1SX6NBoVAgQJ6U1MVXOaj8PK2l7WJ3RER9xtqwdhxkhw/edit?usp=sharing"",""สระบุรี!I405"")"),0)</f>
        <v>0</v>
      </c>
      <c r="J510" s="198">
        <f ca="1">IFERROR(__xludf.DUMMYFUNCTION("IMPORTRANGE(""https://docs.google.com/spreadsheets/d/1SX6NBoVAgQJ6U1MVXOaj8PK2l7WJ3RER9xtqwdhxkhw/edit?usp=sharing"",""สระบุรี!J405"")"),0)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IFERROR(__xludf.DUMMYFUNCTION("IMPORTRANGE(""https://docs.google.com/spreadsheets/d/1SX6NBoVAgQJ6U1MVXOaj8PK2l7WJ3RER9xtqwdhxkhw/edit?usp=sharing"",""สระบุรี!I406"")"),0)</f>
        <v>0</v>
      </c>
      <c r="J511" s="198">
        <f ca="1">IFERROR(__xludf.DUMMYFUNCTION("IMPORTRANGE(""https://docs.google.com/spreadsheets/d/1SX6NBoVAgQJ6U1MVXOaj8PK2l7WJ3RER9xtqwdhxkhw/edit?usp=sharing"",""สระบุรี!J406"")"),0)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IFERROR(__xludf.DUMMYFUNCTION("IMPORTRANGE(""https://docs.google.com/spreadsheets/d/1SX6NBoVAgQJ6U1MVXOaj8PK2l7WJ3RER9xtqwdhxkhw/edit?usp=sharing"",""สระบุรี!I407"")"),0)</f>
        <v>0</v>
      </c>
      <c r="J512" s="198">
        <f ca="1">IFERROR(__xludf.DUMMYFUNCTION("IMPORTRANGE(""https://docs.google.com/spreadsheets/d/1SX6NBoVAgQJ6U1MVXOaj8PK2l7WJ3RER9xtqwdhxkhw/edit?usp=sharing"",""สระบุรี!J407"")"),0)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IFERROR(__xludf.DUMMYFUNCTION("IMPORTRANGE(""https://docs.google.com/spreadsheets/d/1SX6NBoVAgQJ6U1MVXOaj8PK2l7WJ3RER9xtqwdhxkhw/edit?usp=sharing"",""สระบุรี!I408"")"),0)</f>
        <v>0</v>
      </c>
      <c r="J513" s="198">
        <f ca="1">IFERROR(__xludf.DUMMYFUNCTION("IMPORTRANGE(""https://docs.google.com/spreadsheets/d/1SX6NBoVAgQJ6U1MVXOaj8PK2l7WJ3RER9xtqwdhxkhw/edit?usp=sharing"",""สระบุรี!J408"")"),0)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IFERROR(__xludf.DUMMYFUNCTION("IMPORTRANGE(""https://docs.google.com/spreadsheets/d/1SX6NBoVAgQJ6U1MVXOaj8PK2l7WJ3RER9xtqwdhxkhw/edit?usp=sharing"",""สระบุรี!I409"")"),0)</f>
        <v>0</v>
      </c>
      <c r="J514" s="198">
        <f ca="1">IFERROR(__xludf.DUMMYFUNCTION("IMPORTRANGE(""https://docs.google.com/spreadsheets/d/1SX6NBoVAgQJ6U1MVXOaj8PK2l7WJ3RER9xtqwdhxkhw/edit?usp=sharing"",""สระบุรี!J409"")"),0)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IFERROR(__xludf.DUMMYFUNCTION("IMPORTRANGE(""https://docs.google.com/spreadsheets/d/1SX6NBoVAgQJ6U1MVXOaj8PK2l7WJ3RER9xtqwdhxkhw/edit?usp=sharing"",""สระบุรี!I410"")"),0)</f>
        <v>0</v>
      </c>
      <c r="J515" s="198">
        <f ca="1">IFERROR(__xludf.DUMMYFUNCTION("IMPORTRANGE(""https://docs.google.com/spreadsheets/d/1SX6NBoVAgQJ6U1MVXOaj8PK2l7WJ3RER9xtqwdhxkhw/edit?usp=sharing"",""สระบุรี!J410"")"),0)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IFERROR(__xludf.DUMMYFUNCTION("IMPORTRANGE(""https://docs.google.com/spreadsheets/d/1SX6NBoVAgQJ6U1MVXOaj8PK2l7WJ3RER9xtqwdhxkhw/edit?usp=sharing"",""สระบุรี!I411"")"),0)</f>
        <v>0</v>
      </c>
      <c r="J516" s="268">
        <f ca="1">IFERROR(__xludf.DUMMYFUNCTION("IMPORTRANGE(""https://docs.google.com/spreadsheets/d/1SX6NBoVAgQJ6U1MVXOaj8PK2l7WJ3RER9xtqwdhxkhw/edit?usp=sharing"",""สระบุรี!J411"")"),0)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IFERROR(__xludf.DUMMYFUNCTION("IMPORTRANGE(""https://docs.google.com/spreadsheets/d/1SX6NBoVAgQJ6U1MVXOaj8PK2l7WJ3RER9xtqwdhxkhw/edit?usp=sharing"",""สระบุรี!I412"")"),0)</f>
        <v>0</v>
      </c>
      <c r="J517" s="285">
        <f ca="1">IFERROR(__xludf.DUMMYFUNCTION("IMPORTRANGE(""https://docs.google.com/spreadsheets/d/1SX6NBoVAgQJ6U1MVXOaj8PK2l7WJ3RER9xtqwdhxkhw/edit?usp=sharing"",""สระบุรี!J412"")"),0)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IFERROR(__xludf.DUMMYFUNCTION("IMPORTRANGE(""https://docs.google.com/spreadsheets/d/1SX6NBoVAgQJ6U1MVXOaj8PK2l7WJ3RER9xtqwdhxkhw/edit?usp=sharing"",""สระบุรี!I413"")"),0)</f>
        <v>0</v>
      </c>
      <c r="J518" s="285">
        <f ca="1">IFERROR(__xludf.DUMMYFUNCTION("IMPORTRANGE(""https://docs.google.com/spreadsheets/d/1SX6NBoVAgQJ6U1MVXOaj8PK2l7WJ3RER9xtqwdhxkhw/edit?usp=sharing"",""สระบุรี!J413"")"),0)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IFERROR(__xludf.DUMMYFUNCTION("IMPORTRANGE(""https://docs.google.com/spreadsheets/d/1SX6NBoVAgQJ6U1MVXOaj8PK2l7WJ3RER9xtqwdhxkhw/edit?usp=sharing"",""สระบุรี!I414"")"),0)</f>
        <v>0</v>
      </c>
      <c r="J519" s="188">
        <f ca="1">IFERROR(__xludf.DUMMYFUNCTION("IMPORTRANGE(""https://docs.google.com/spreadsheets/d/1SX6NBoVAgQJ6U1MVXOaj8PK2l7WJ3RER9xtqwdhxkhw/edit?usp=sharing"",""สระบุรี!J414"")"),0)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IFERROR(__xludf.DUMMYFUNCTION("IMPORTRANGE(""https://docs.google.com/spreadsheets/d/1SX6NBoVAgQJ6U1MVXOaj8PK2l7WJ3RER9xtqwdhxkhw/edit?usp=sharing"",""สระบุรี!I415"")"),0)</f>
        <v>0</v>
      </c>
      <c r="J520" s="188">
        <f ca="1">IFERROR(__xludf.DUMMYFUNCTION("IMPORTRANGE(""https://docs.google.com/spreadsheets/d/1SX6NBoVAgQJ6U1MVXOaj8PK2l7WJ3RER9xtqwdhxkhw/edit?usp=sharing"",""สระบุรี!J415"")"),0)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IFERROR(__xludf.DUMMYFUNCTION("IMPORTRANGE(""https://docs.google.com/spreadsheets/d/1SX6NBoVAgQJ6U1MVXOaj8PK2l7WJ3RER9xtqwdhxkhw/edit?usp=sharing"",""สระบุรี!I416"")"),0)</f>
        <v>0</v>
      </c>
      <c r="J521" s="188">
        <f ca="1">IFERROR(__xludf.DUMMYFUNCTION("IMPORTRANGE(""https://docs.google.com/spreadsheets/d/1SX6NBoVAgQJ6U1MVXOaj8PK2l7WJ3RER9xtqwdhxkhw/edit?usp=sharing"",""สระบุรี!J416"")"),0)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IFERROR(__xludf.DUMMYFUNCTION("IMPORTRANGE(""https://docs.google.com/spreadsheets/d/1SX6NBoVAgQJ6U1MVXOaj8PK2l7WJ3RER9xtqwdhxkhw/edit?usp=sharing"",""สระบุรี!I417"")"),0)</f>
        <v>0</v>
      </c>
      <c r="J522" s="188">
        <f ca="1">IFERROR(__xludf.DUMMYFUNCTION("IMPORTRANGE(""https://docs.google.com/spreadsheets/d/1SX6NBoVAgQJ6U1MVXOaj8PK2l7WJ3RER9xtqwdhxkhw/edit?usp=sharing"",""สระบุรี!J417"")"),0)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IFERROR(__xludf.DUMMYFUNCTION("IMPORTRANGE(""https://docs.google.com/spreadsheets/d/1SX6NBoVAgQJ6U1MVXOaj8PK2l7WJ3RER9xtqwdhxkhw/edit?usp=sharing"",""สระบุรี!I418"")"),0)</f>
        <v>0</v>
      </c>
      <c r="J523" s="188">
        <f ca="1">IFERROR(__xludf.DUMMYFUNCTION("IMPORTRANGE(""https://docs.google.com/spreadsheets/d/1SX6NBoVAgQJ6U1MVXOaj8PK2l7WJ3RER9xtqwdhxkhw/edit?usp=sharing"",""สระบุรี!J418"")"),52)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IFERROR(__xludf.DUMMYFUNCTION("IMPORTRANGE(""https://docs.google.com/spreadsheets/d/1SX6NBoVAgQJ6U1MVXOaj8PK2l7WJ3RER9xtqwdhxkhw/edit?usp=sharing"",""สระบุรี!I419"")"),0)</f>
        <v>0</v>
      </c>
      <c r="J524" s="188">
        <f ca="1">IFERROR(__xludf.DUMMYFUNCTION("IMPORTRANGE(""https://docs.google.com/spreadsheets/d/1SX6NBoVAgQJ6U1MVXOaj8PK2l7WJ3RER9xtqwdhxkhw/edit?usp=sharing"",""สระบุรี!J419"")"),6)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IFERROR(__xludf.DUMMYFUNCTION("IMPORTRANGE(""https://docs.google.com/spreadsheets/d/1SX6NBoVAgQJ6U1MVXOaj8PK2l7WJ3RER9xtqwdhxkhw/edit?usp=sharing"",""สระบุรี!I420"")"),52)</f>
        <v>52</v>
      </c>
      <c r="J525" s="285">
        <f ca="1">IFERROR(__xludf.DUMMYFUNCTION("IMPORTRANGE(""https://docs.google.com/spreadsheets/d/1SX6NBoVAgQJ6U1MVXOaj8PK2l7WJ3RER9xtqwdhxkhw/edit?usp=sharing"",""สระบุรี!J420"")"),0)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IFERROR(__xludf.DUMMYFUNCTION("IMPORTRANGE(""https://docs.google.com/spreadsheets/d/1SX6NBoVAgQJ6U1MVXOaj8PK2l7WJ3RER9xtqwdhxkhw/edit?usp=sharing"",""สระบุรี!I421"")"),6)</f>
        <v>6</v>
      </c>
      <c r="J526" s="285">
        <f ca="1">IFERROR(__xludf.DUMMYFUNCTION("IMPORTRANGE(""https://docs.google.com/spreadsheets/d/1SX6NBoVAgQJ6U1MVXOaj8PK2l7WJ3RER9xtqwdhxkhw/edit?usp=sharing"",""สระบุรี!J421"")"),0)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IFERROR(__xludf.DUMMYFUNCTION("IMPORTRANGE(""https://docs.google.com/spreadsheets/d/1SX6NBoVAgQJ6U1MVXOaj8PK2l7WJ3RER9xtqwdhxkhw/edit?usp=sharing"",""สระบุรี!I422"")"),0)</f>
        <v>0</v>
      </c>
      <c r="J527" s="198">
        <f ca="1">IFERROR(__xludf.DUMMYFUNCTION("IMPORTRANGE(""https://docs.google.com/spreadsheets/d/1SX6NBoVAgQJ6U1MVXOaj8PK2l7WJ3RER9xtqwdhxkhw/edit?usp=sharing"",""สระบุรี!J422"")"),0)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IFERROR(__xludf.DUMMYFUNCTION("IMPORTRANGE(""https://docs.google.com/spreadsheets/d/1SX6NBoVAgQJ6U1MVXOaj8PK2l7WJ3RER9xtqwdhxkhw/edit?usp=sharing"",""สระบุรี!I423"")"),0)</f>
        <v>0</v>
      </c>
      <c r="J528" s="198">
        <f ca="1">IFERROR(__xludf.DUMMYFUNCTION("IMPORTRANGE(""https://docs.google.com/spreadsheets/d/1SX6NBoVAgQJ6U1MVXOaj8PK2l7WJ3RER9xtqwdhxkhw/edit?usp=sharing"",""สระบุรี!J423"")"),0)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IFERROR(__xludf.DUMMYFUNCTION("IMPORTRANGE(""https://docs.google.com/spreadsheets/d/1SX6NBoVAgQJ6U1MVXOaj8PK2l7WJ3RER9xtqwdhxkhw/edit?usp=sharing"",""สระบุรี!I424"")"),0)</f>
        <v>0</v>
      </c>
      <c r="J529" s="198">
        <f ca="1">IFERROR(__xludf.DUMMYFUNCTION("IMPORTRANGE(""https://docs.google.com/spreadsheets/d/1SX6NBoVAgQJ6U1MVXOaj8PK2l7WJ3RER9xtqwdhxkhw/edit?usp=sharing"",""สระบุรี!J424"")"),0)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IFERROR(__xludf.DUMMYFUNCTION("IMPORTRANGE(""https://docs.google.com/spreadsheets/d/1SX6NBoVAgQJ6U1MVXOaj8PK2l7WJ3RER9xtqwdhxkhw/edit?usp=sharing"",""สระบุรี!I425"")"),0)</f>
        <v>0</v>
      </c>
      <c r="J530" s="198">
        <f ca="1">IFERROR(__xludf.DUMMYFUNCTION("IMPORTRANGE(""https://docs.google.com/spreadsheets/d/1SX6NBoVAgQJ6U1MVXOaj8PK2l7WJ3RER9xtqwdhxkhw/edit?usp=sharing"",""สระบุรี!J425"")"),0)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IFERROR(__xludf.DUMMYFUNCTION("IMPORTRANGE(""https://docs.google.com/spreadsheets/d/1SX6NBoVAgQJ6U1MVXOaj8PK2l7WJ3RER9xtqwdhxkhw/edit?usp=sharing"",""สระบุรี!I426"")"),0)</f>
        <v>0</v>
      </c>
      <c r="J531" s="198">
        <f ca="1">IFERROR(__xludf.DUMMYFUNCTION("IMPORTRANGE(""https://docs.google.com/spreadsheets/d/1SX6NBoVAgQJ6U1MVXOaj8PK2l7WJ3RER9xtqwdhxkhw/edit?usp=sharing"",""สระบุรี!J426"")"),0)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IFERROR(__xludf.DUMMYFUNCTION("IMPORTRANGE(""https://docs.google.com/spreadsheets/d/1SX6NBoVAgQJ6U1MVXOaj8PK2l7WJ3RER9xtqwdhxkhw/edit?usp=sharing"",""สระบุรี!I427"")"),0)</f>
        <v>0</v>
      </c>
      <c r="J532" s="466">
        <f ca="1">IFERROR(__xludf.DUMMYFUNCTION("IMPORTRANGE(""https://docs.google.com/spreadsheets/d/1SX6NBoVAgQJ6U1MVXOaj8PK2l7WJ3RER9xtqwdhxkhw/edit?usp=sharing"",""สระบุรี!J427"")"),0)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IFERROR(__xludf.DUMMYFUNCTION("IMPORTRANGE(""https://docs.google.com/spreadsheets/d/1SX6NBoVAgQJ6U1MVXOaj8PK2l7WJ3RER9xtqwdhxkhw/edit?usp=sharing"",""สระบุรี!I428"")"),23)</f>
        <v>23</v>
      </c>
      <c r="J533" s="410">
        <f ca="1">IFERROR(__xludf.DUMMYFUNCTION("IMPORTRANGE(""https://docs.google.com/spreadsheets/d/1SX6NBoVAgQJ6U1MVXOaj8PK2l7WJ3RER9xtqwdhxkhw/edit?usp=sharing"",""สระบุรี!J428"")"),23)</f>
        <v>23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IFERROR(__xludf.DUMMYFUNCTION("IMPORTRANGE(""https://docs.google.com/spreadsheets/d/1SX6NBoVAgQJ6U1MVXOaj8PK2l7WJ3RER9xtqwdhxkhw/edit?usp=sharing"",""สระบุรี!L428"")"),35190)</f>
        <v>35190</v>
      </c>
      <c r="M533" s="412"/>
      <c r="N533" s="412">
        <f ca="1">IFERROR(__xludf.DUMMYFUNCTION("IMPORTRANGE(""https://docs.google.com/spreadsheets/d/1SX6NBoVAgQJ6U1MVXOaj8PK2l7WJ3RER9xtqwdhxkhw/edit?usp=sharing"",""สระบุรี!M428"")"),25560)</f>
        <v>25560</v>
      </c>
      <c r="O533" s="412">
        <f t="shared" ref="O533:O537" ca="1" si="118">+IF(L533&gt;0,N533*100/L533,0)</f>
        <v>72.63427109974424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IFERROR(__xludf.DUMMYFUNCTION("IMPORTRANGE(""https://docs.google.com/spreadsheets/d/1SX6NBoVAgQJ6U1MVXOaj8PK2l7WJ3RER9xtqwdhxkhw/edit?usp=sharing"",""สระบุรี!L429"")"),0)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IFERROR(__xludf.DUMMYFUNCTION("IMPORTRANGE(""https://docs.google.com/spreadsheets/d/1SX6NBoVAgQJ6U1MVXOaj8PK2l7WJ3RER9xtqwdhxkhw/edit?usp=sharing"",""สระบุรี!M429"")"),0)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IFERROR(__xludf.DUMMYFUNCTION("IMPORTRANGE(""https://docs.google.com/spreadsheets/d/1SX6NBoVAgQJ6U1MVXOaj8PK2l7WJ3RER9xtqwdhxkhw/edit?usp=sharing"",""สระบุรี!L430"")"),35190)</f>
        <v>35190</v>
      </c>
      <c r="M535" s="165"/>
      <c r="N535" s="169">
        <f ca="1">IFERROR(__xludf.DUMMYFUNCTION("IMPORTRANGE(""https://docs.google.com/spreadsheets/d/1SX6NBoVAgQJ6U1MVXOaj8PK2l7WJ3RER9xtqwdhxkhw/edit?usp=sharing"",""สระบุรี!M430"")"),25560)</f>
        <v>25560</v>
      </c>
      <c r="O535" s="169">
        <f t="shared" ca="1" si="118"/>
        <v>72.63427109974424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IFERROR(__xludf.DUMMYFUNCTION("IMPORTRANGE(""https://docs.google.com/spreadsheets/d/1SX6NBoVAgQJ6U1MVXOaj8PK2l7WJ3RER9xtqwdhxkhw/edit?usp=sharing"",""สระบุรี!L431"")"),0)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IFERROR(__xludf.DUMMYFUNCTION("IMPORTRANGE(""https://docs.google.com/spreadsheets/d/1SX6NBoVAgQJ6U1MVXOaj8PK2l7WJ3RER9xtqwdhxkhw/edit?usp=sharing"",""สระบุรี!M431"")"),0)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IFERROR(__xludf.DUMMYFUNCTION("IMPORTRANGE(""https://docs.google.com/spreadsheets/d/1SX6NBoVAgQJ6U1MVXOaj8PK2l7WJ3RER9xtqwdhxkhw/edit?usp=sharing"",""สระบุรี!L432"")"),35190)</f>
        <v>35190</v>
      </c>
      <c r="M537" s="169"/>
      <c r="N537" s="169">
        <f ca="1">IFERROR(__xludf.DUMMYFUNCTION("IMPORTRANGE(""https://docs.google.com/spreadsheets/d/1SX6NBoVAgQJ6U1MVXOaj8PK2l7WJ3RER9xtqwdhxkhw/edit?usp=sharing"",""สระบุรี!M432"")"),25560)</f>
        <v>25560</v>
      </c>
      <c r="O537" s="169">
        <f t="shared" ca="1" si="118"/>
        <v>72.63427109974424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IFERROR(__xludf.DUMMYFUNCTION("IMPORTRANGE(""https://docs.google.com/spreadsheets/d/1SX6NBoVAgQJ6U1MVXOaj8PK2l7WJ3RER9xtqwdhxkhw/edit?usp=sharing"",""สระบุรี!M433"")"),13050)</f>
        <v>13050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IFERROR(__xludf.DUMMYFUNCTION("IMPORTRANGE(""https://docs.google.com/spreadsheets/d/1SX6NBoVAgQJ6U1MVXOaj8PK2l7WJ3RER9xtqwdhxkhw/edit?usp=sharing"",""สระบุรี!M434"")"),0)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IFERROR(__xludf.DUMMYFUNCTION("IMPORTRANGE(""https://docs.google.com/spreadsheets/d/1SX6NBoVAgQJ6U1MVXOaj8PK2l7WJ3RER9xtqwdhxkhw/edit?usp=sharing"",""สระบุรี!M435"")"),0)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IFERROR(__xludf.DUMMYFUNCTION("IMPORTRANGE(""https://docs.google.com/spreadsheets/d/1SX6NBoVAgQJ6U1MVXOaj8PK2l7WJ3RER9xtqwdhxkhw/edit?usp=sharing"",""สระบุรี!M436"")"),12510)</f>
        <v>12510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IFERROR(__xludf.DUMMYFUNCTION("IMPORTRANGE(""https://docs.google.com/spreadsheets/d/1SX6NBoVAgQJ6U1MVXOaj8PK2l7WJ3RER9xtqwdhxkhw/edit?usp=sharing"",""สระบุรี!J438"")"),0)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IFERROR(__xludf.DUMMYFUNCTION("IMPORTRANGE(""https://docs.google.com/spreadsheets/d/1SX6NBoVAgQJ6U1MVXOaj8PK2l7WJ3RER9xtqwdhxkhw/edit?usp=sharing"",""สระบุรี!J439"")"),1)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IFERROR(__xludf.DUMMYFUNCTION("IMPORTRANGE(""https://docs.google.com/spreadsheets/d/1SX6NBoVAgQJ6U1MVXOaj8PK2l7WJ3RER9xtqwdhxkhw/edit?usp=sharing"",""สระบุรี!J440"")"),1)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IFERROR(__xludf.DUMMYFUNCTION("IMPORTRANGE(""https://docs.google.com/spreadsheets/d/1SX6NBoVAgQJ6U1MVXOaj8PK2l7WJ3RER9xtqwdhxkhw/edit?usp=sharing"",""สระบุรี!J441"")"),1)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IFERROR(__xludf.DUMMYFUNCTION("IMPORTRANGE(""https://docs.google.com/spreadsheets/d/1SX6NBoVAgQJ6U1MVXOaj8PK2l7WJ3RER9xtqwdhxkhw/edit?usp=sharing"",""สระบุรี!I442"")"),23)</f>
        <v>23</v>
      </c>
      <c r="J547" s="189">
        <f ca="1">IFERROR(__xludf.DUMMYFUNCTION("IMPORTRANGE(""https://docs.google.com/spreadsheets/d/1SX6NBoVAgQJ6U1MVXOaj8PK2l7WJ3RER9xtqwdhxkhw/edit?usp=sharing"",""สระบุรี!J442"")"),23)</f>
        <v>23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IFERROR(__xludf.DUMMYFUNCTION("IMPORTRANGE(""https://docs.google.com/spreadsheets/d/1SX6NBoVAgQJ6U1MVXOaj8PK2l7WJ3RER9xtqwdhxkhw/edit?usp=sharing"",""สระบุรี!J166"")"),1)</f>
        <v>1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IFERROR(__xludf.DUMMYFUNCTION("IMPORTRANGE(""https://docs.google.com/spreadsheets/d/1SX6NBoVAgQJ6U1MVXOaj8PK2l7WJ3RER9xtqwdhxkhw/edit?usp=sharing"",""สระบุรี!J444"")"),0)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IFERROR(__xludf.DUMMYFUNCTION("IMPORTRANGE(""https://docs.google.com/spreadsheets/d/1SX6NBoVAgQJ6U1MVXOaj8PK2l7WJ3RER9xtqwdhxkhw/edit?usp=sharing"",""สระบุรี!J445"")"),0)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IFERROR(__xludf.DUMMYFUNCTION("IMPORTRANGE(""https://docs.google.com/spreadsheets/d/1SX6NBoVAgQJ6U1MVXOaj8PK2l7WJ3RER9xtqwdhxkhw/edit?usp=sharing"",""สระบุรี!I446"")"),0)</f>
        <v>0</v>
      </c>
      <c r="J551" s="410">
        <f ca="1">IFERROR(__xludf.DUMMYFUNCTION("IMPORTRANGE(""https://docs.google.com/spreadsheets/d/1SX6NBoVAgQJ6U1MVXOaj8PK2l7WJ3RER9xtqwdhxkhw/edit?usp=sharing"",""สระบุรี!J446"")"),0)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IFERROR(__xludf.DUMMYFUNCTION("IMPORTRANGE(""https://docs.google.com/spreadsheets/d/1SX6NBoVAgQJ6U1MVXOaj8PK2l7WJ3RER9xtqwdhxkhw/edit?usp=sharing"",""สระบุรี!L446"")"),0)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IFERROR(__xludf.DUMMYFUNCTION("IMPORTRANGE(""https://docs.google.com/spreadsheets/d/1SX6NBoVAgQJ6U1MVXOaj8PK2l7WJ3RER9xtqwdhxkhw/edit?usp=sharing"",""สระบุรี!M446"")"),0)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IFERROR(__xludf.DUMMYFUNCTION("IMPORTRANGE(""https://docs.google.com/spreadsheets/d/1SX6NBoVAgQJ6U1MVXOaj8PK2l7WJ3RER9xtqwdhxkhw/edit?usp=sharing"",""สระบุรี!L447"")"),0)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IFERROR(__xludf.DUMMYFUNCTION("IMPORTRANGE(""https://docs.google.com/spreadsheets/d/1SX6NBoVAgQJ6U1MVXOaj8PK2l7WJ3RER9xtqwdhxkhw/edit?usp=sharing"",""สระบุรี!M447"")"),0)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IFERROR(__xludf.DUMMYFUNCTION("IMPORTRANGE(""https://docs.google.com/spreadsheets/d/1SX6NBoVAgQJ6U1MVXOaj8PK2l7WJ3RER9xtqwdhxkhw/edit?usp=sharing"",""สระบุรี!L448"")"),0)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IFERROR(__xludf.DUMMYFUNCTION("IMPORTRANGE(""https://docs.google.com/spreadsheets/d/1SX6NBoVAgQJ6U1MVXOaj8PK2l7WJ3RER9xtqwdhxkhw/edit?usp=sharing"",""สระบุรี!M448"")"),0)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IFERROR(__xludf.DUMMYFUNCTION("IMPORTRANGE(""https://docs.google.com/spreadsheets/d/1SX6NBoVAgQJ6U1MVXOaj8PK2l7WJ3RER9xtqwdhxkhw/edit?usp=sharing"",""สระบุรี!L449"")"),0)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IFERROR(__xludf.DUMMYFUNCTION("IMPORTRANGE(""https://docs.google.com/spreadsheets/d/1SX6NBoVAgQJ6U1MVXOaj8PK2l7WJ3RER9xtqwdhxkhw/edit?usp=sharing"",""สระบุรี!M449"")"),0)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IFERROR(__xludf.DUMMYFUNCTION("IMPORTRANGE(""https://docs.google.com/spreadsheets/d/1SX6NBoVAgQJ6U1MVXOaj8PK2l7WJ3RER9xtqwdhxkhw/edit?usp=sharing"",""สระบุรี!L450"")"),0)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IFERROR(__xludf.DUMMYFUNCTION("IMPORTRANGE(""https://docs.google.com/spreadsheets/d/1SX6NBoVAgQJ6U1MVXOaj8PK2l7WJ3RER9xtqwdhxkhw/edit?usp=sharing"",""สระบุรี!M450"")"),0)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IFERROR(__xludf.DUMMYFUNCTION("IMPORTRANGE(""https://docs.google.com/spreadsheets/d/1SX6NBoVAgQJ6U1MVXOaj8PK2l7WJ3RER9xtqwdhxkhw/edit?usp=sharing"",""สระบุรี!M451"")"),0)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IFERROR(__xludf.DUMMYFUNCTION("IMPORTRANGE(""https://docs.google.com/spreadsheets/d/1SX6NBoVAgQJ6U1MVXOaj8PK2l7WJ3RER9xtqwdhxkhw/edit?usp=sharing"",""สระบุรี!M452"")"),0)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IFERROR(__xludf.DUMMYFUNCTION("IMPORTRANGE(""https://docs.google.com/spreadsheets/d/1SX6NBoVAgQJ6U1MVXOaj8PK2l7WJ3RER9xtqwdhxkhw/edit?usp=sharing"",""สระบุรี!M453"")"),0)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IFERROR(__xludf.DUMMYFUNCTION("IMPORTRANGE(""https://docs.google.com/spreadsheets/d/1SX6NBoVAgQJ6U1MVXOaj8PK2l7WJ3RER9xtqwdhxkhw/edit?usp=sharing"",""สระบุรี!M454"")"),0)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IFERROR(__xludf.DUMMYFUNCTION("IMPORTRANGE(""https://docs.google.com/spreadsheets/d/1SX6NBoVAgQJ6U1MVXOaj8PK2l7WJ3RER9xtqwdhxkhw/edit?usp=sharing"",""สระบุรี!I455"")"),0)</f>
        <v>0</v>
      </c>
      <c r="J560" s="162">
        <f ca="1">IFERROR(__xludf.DUMMYFUNCTION("IMPORTRANGE(""https://docs.google.com/spreadsheets/d/1SX6NBoVAgQJ6U1MVXOaj8PK2l7WJ3RER9xtqwdhxkhw/edit?usp=sharing"",""สระบุรี!J455"")"),0)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IFERROR(__xludf.DUMMYFUNCTION("IMPORTRANGE(""https://docs.google.com/spreadsheets/d/1SX6NBoVAgQJ6U1MVXOaj8PK2l7WJ3RER9xtqwdhxkhw/edit?usp=sharing"",""สระบุรี!I456"")"),0)</f>
        <v>0</v>
      </c>
      <c r="J561" s="204">
        <f ca="1">IFERROR(__xludf.DUMMYFUNCTION("IMPORTRANGE(""https://docs.google.com/spreadsheets/d/1SX6NBoVAgQJ6U1MVXOaj8PK2l7WJ3RER9xtqwdhxkhw/edit?usp=sharing"",""สระบุรี!J456"")"),0)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IFERROR(__xludf.DUMMYFUNCTION("IMPORTRANGE(""https://docs.google.com/spreadsheets/d/1SX6NBoVAgQJ6U1MVXOaj8PK2l7WJ3RER9xtqwdhxkhw/edit?usp=sharing"",""สระบุรี!I459"")"),600)</f>
        <v>600</v>
      </c>
      <c r="J564" s="371">
        <f ca="1">IFERROR(__xludf.DUMMYFUNCTION("IMPORTRANGE(""https://docs.google.com/spreadsheets/d/1SX6NBoVAgQJ6U1MVXOaj8PK2l7WJ3RER9xtqwdhxkhw/edit?usp=sharing"",""สระบุรี!J459"")"),4414)</f>
        <v>4414</v>
      </c>
      <c r="K564" s="372">
        <f ca="1">IF(I564&gt;0,J564*100/I564,0)</f>
        <v>735.66666666666663</v>
      </c>
      <c r="L564" s="373">
        <f ca="1">IFERROR(__xludf.DUMMYFUNCTION("IMPORTRANGE(""https://docs.google.com/spreadsheets/d/1SX6NBoVAgQJ6U1MVXOaj8PK2l7WJ3RER9xtqwdhxkhw/edit?usp=sharing"",""สระบุรี!L459"")"),125680)</f>
        <v>125680</v>
      </c>
      <c r="M564" s="373"/>
      <c r="N564" s="373">
        <f ca="1">IFERROR(__xludf.DUMMYFUNCTION("IMPORTRANGE(""https://docs.google.com/spreadsheets/d/1SX6NBoVAgQJ6U1MVXOaj8PK2l7WJ3RER9xtqwdhxkhw/edit?usp=sharing"",""สระบุรี!M459"")"),46690)</f>
        <v>46690</v>
      </c>
      <c r="O564" s="373">
        <f t="shared" ref="O564:O568" ca="1" si="122">+IF(L564&gt;0,N564*100/L564,0)</f>
        <v>37.149904519414385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IFERROR(__xludf.DUMMYFUNCTION("IMPORTRANGE(""https://docs.google.com/spreadsheets/d/1SX6NBoVAgQJ6U1MVXOaj8PK2l7WJ3RER9xtqwdhxkhw/edit?usp=sharing"",""สระบุรี!L460"")"),0)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IFERROR(__xludf.DUMMYFUNCTION("IMPORTRANGE(""https://docs.google.com/spreadsheets/d/1SX6NBoVAgQJ6U1MVXOaj8PK2l7WJ3RER9xtqwdhxkhw/edit?usp=sharing"",""สระบุรี!M460"")"),0)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IFERROR(__xludf.DUMMYFUNCTION("IMPORTRANGE(""https://docs.google.com/spreadsheets/d/1SX6NBoVAgQJ6U1MVXOaj8PK2l7WJ3RER9xtqwdhxkhw/edit?usp=sharing"",""สระบุรี!L461"")"),125680)</f>
        <v>125680</v>
      </c>
      <c r="M566" s="165"/>
      <c r="N566" s="169">
        <f ca="1">IFERROR(__xludf.DUMMYFUNCTION("IMPORTRANGE(""https://docs.google.com/spreadsheets/d/1SX6NBoVAgQJ6U1MVXOaj8PK2l7WJ3RER9xtqwdhxkhw/edit?usp=sharing"",""สระบุรี!M461"")"),46690)</f>
        <v>46690</v>
      </c>
      <c r="O566" s="169">
        <f t="shared" ca="1" si="122"/>
        <v>37.149904519414385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IFERROR(__xludf.DUMMYFUNCTION("IMPORTRANGE(""https://docs.google.com/spreadsheets/d/1SX6NBoVAgQJ6U1MVXOaj8PK2l7WJ3RER9xtqwdhxkhw/edit?usp=sharing"",""สระบุรี!L462"")"),0)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IFERROR(__xludf.DUMMYFUNCTION("IMPORTRANGE(""https://docs.google.com/spreadsheets/d/1SX6NBoVAgQJ6U1MVXOaj8PK2l7WJ3RER9xtqwdhxkhw/edit?usp=sharing"",""สระบุรี!M462"")"),0)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IFERROR(__xludf.DUMMYFUNCTION("IMPORTRANGE(""https://docs.google.com/spreadsheets/d/1SX6NBoVAgQJ6U1MVXOaj8PK2l7WJ3RER9xtqwdhxkhw/edit?usp=sharing"",""สระบุรี!L463"")"),125680)</f>
        <v>125680</v>
      </c>
      <c r="M568" s="169"/>
      <c r="N568" s="169">
        <f ca="1">IFERROR(__xludf.DUMMYFUNCTION("IMPORTRANGE(""https://docs.google.com/spreadsheets/d/1SX6NBoVAgQJ6U1MVXOaj8PK2l7WJ3RER9xtqwdhxkhw/edit?usp=sharing"",""สระบุรี!M463"")"),46690)</f>
        <v>46690</v>
      </c>
      <c r="O568" s="169">
        <f t="shared" ca="1" si="122"/>
        <v>37.149904519414385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IFERROR(__xludf.DUMMYFUNCTION("IMPORTRANGE(""https://docs.google.com/spreadsheets/d/1SX6NBoVAgQJ6U1MVXOaj8PK2l7WJ3RER9xtqwdhxkhw/edit?usp=sharing"",""สระบุรี!M464"")"),0)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IFERROR(__xludf.DUMMYFUNCTION("IMPORTRANGE(""https://docs.google.com/spreadsheets/d/1SX6NBoVAgQJ6U1MVXOaj8PK2l7WJ3RER9xtqwdhxkhw/edit?usp=sharing"",""สระบุรี!M465"")"),0)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IFERROR(__xludf.DUMMYFUNCTION("IMPORTRANGE(""https://docs.google.com/spreadsheets/d/1SX6NBoVAgQJ6U1MVXOaj8PK2l7WJ3RER9xtqwdhxkhw/edit?usp=sharing"",""สระบุรี!M466"")"),28974)</f>
        <v>28974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IFERROR(__xludf.DUMMYFUNCTION("IMPORTRANGE(""https://docs.google.com/spreadsheets/d/1SX6NBoVAgQJ6U1MVXOaj8PK2l7WJ3RER9xtqwdhxkhw/edit?usp=sharing"",""สระบุรี!M467"")"),17716)</f>
        <v>17716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IFERROR(__xludf.DUMMYFUNCTION("IMPORTRANGE(""https://docs.google.com/spreadsheets/d/1SX6NBoVAgQJ6U1MVXOaj8PK2l7WJ3RER9xtqwdhxkhw/edit?usp=sharing"",""สระบุรี!I468"")"),600)</f>
        <v>600</v>
      </c>
      <c r="J573" s="420">
        <f ca="1">IFERROR(__xludf.DUMMYFUNCTION("IMPORTRANGE(""https://docs.google.com/spreadsheets/d/1SX6NBoVAgQJ6U1MVXOaj8PK2l7WJ3RER9xtqwdhxkhw/edit?usp=sharing"",""สระบุรี!J468"")"),4414)</f>
        <v>4414</v>
      </c>
      <c r="K573" s="202">
        <f ca="1">IF(I573&gt;0,J573*100/I573,0)</f>
        <v>735.66666666666663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IFERROR(__xludf.DUMMYFUNCTION("IMPORTRANGE(""https://docs.google.com/spreadsheets/d/1SX6NBoVAgQJ6U1MVXOaj8PK2l7WJ3RER9xtqwdhxkhw/edit?usp=sharing"",""สระบุรี!I470"")"),0)</f>
        <v>0</v>
      </c>
      <c r="J575" s="198">
        <f ca="1">IFERROR(__xludf.DUMMYFUNCTION("IMPORTRANGE(""https://docs.google.com/spreadsheets/d/1SX6NBoVAgQJ6U1MVXOaj8PK2l7WJ3RER9xtqwdhxkhw/edit?usp=sharing"",""สระบุรี!J470"")"),4)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IFERROR(__xludf.DUMMYFUNCTION("IMPORTRANGE(""https://docs.google.com/spreadsheets/d/1SX6NBoVAgQJ6U1MVXOaj8PK2l7WJ3RER9xtqwdhxkhw/edit?usp=sharing"",""สระบุรี!I471"")"),0)</f>
        <v>0</v>
      </c>
      <c r="J576" s="198">
        <f ca="1">IFERROR(__xludf.DUMMYFUNCTION("IMPORTRANGE(""https://docs.google.com/spreadsheets/d/1SX6NBoVAgQJ6U1MVXOaj8PK2l7WJ3RER9xtqwdhxkhw/edit?usp=sharing"",""สระบุรี!J471"")"),146)</f>
        <v>146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IFERROR(__xludf.DUMMYFUNCTION("IMPORTRANGE(""https://docs.google.com/spreadsheets/d/1SX6NBoVAgQJ6U1MVXOaj8PK2l7WJ3RER9xtqwdhxkhw/edit?usp=sharing"",""สระบุรี!I472"")"),0)</f>
        <v>0</v>
      </c>
      <c r="J577" s="189">
        <f ca="1">IFERROR(__xludf.DUMMYFUNCTION("IMPORTRANGE(""https://docs.google.com/spreadsheets/d/1SX6NBoVAgQJ6U1MVXOaj8PK2l7WJ3RER9xtqwdhxkhw/edit?usp=sharing"",""สระบุรี!J472"")"),4268)</f>
        <v>4268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IFERROR(__xludf.DUMMYFUNCTION("IMPORTRANGE(""https://docs.google.com/spreadsheets/d/1SX6NBoVAgQJ6U1MVXOaj8PK2l7WJ3RER9xtqwdhxkhw/edit?usp=sharing"",""สระบุรี!I473"")"),0)</f>
        <v>0</v>
      </c>
      <c r="J578" s="198">
        <f ca="1">IFERROR(__xludf.DUMMYFUNCTION("IMPORTRANGE(""https://docs.google.com/spreadsheets/d/1SX6NBoVAgQJ6U1MVXOaj8PK2l7WJ3RER9xtqwdhxkhw/edit?usp=sharing"",""สระบุรี!J473"")"),0)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IFERROR(__xludf.DUMMYFUNCTION("IMPORTRANGE(""https://docs.google.com/spreadsheets/d/1SX6NBoVAgQJ6U1MVXOaj8PK2l7WJ3RER9xtqwdhxkhw/edit?usp=sharing"",""สระบุรี!I474"")"),0)</f>
        <v>0</v>
      </c>
      <c r="J579" s="198">
        <f ca="1">IFERROR(__xludf.DUMMYFUNCTION("IMPORTRANGE(""https://docs.google.com/spreadsheets/d/1SX6NBoVAgQJ6U1MVXOaj8PK2l7WJ3RER9xtqwdhxkhw/edit?usp=sharing"",""สระบุรี!J474"")"),0)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IFERROR(__xludf.DUMMYFUNCTION("IMPORTRANGE(""https://docs.google.com/spreadsheets/d/1SX6NBoVAgQJ6U1MVXOaj8PK2l7WJ3RER9xtqwdhxkhw/edit?usp=sharing"",""สระบุรี!I475"")"),250)</f>
        <v>250</v>
      </c>
      <c r="J580" s="371">
        <f ca="1">IFERROR(__xludf.DUMMYFUNCTION("IMPORTRANGE(""https://docs.google.com/spreadsheets/d/1SX6NBoVAgQJ6U1MVXOaj8PK2l7WJ3RER9xtqwdhxkhw/edit?usp=sharing"",""สระบุรี!J475"")"),2)</f>
        <v>2</v>
      </c>
      <c r="K580" s="372">
        <f ca="1">IF(I580&gt;0,J580*100/I580,0)</f>
        <v>0.8</v>
      </c>
      <c r="L580" s="373">
        <f ca="1">IFERROR(__xludf.DUMMYFUNCTION("IMPORTRANGE(""https://docs.google.com/spreadsheets/d/1SX6NBoVAgQJ6U1MVXOaj8PK2l7WJ3RER9xtqwdhxkhw/edit?usp=sharing"",""สระบุรี!L475"")"),377750)</f>
        <v>377750</v>
      </c>
      <c r="M580" s="373"/>
      <c r="N580" s="373">
        <f ca="1">IFERROR(__xludf.DUMMYFUNCTION("IMPORTRANGE(""https://docs.google.com/spreadsheets/d/1SX6NBoVAgQJ6U1MVXOaj8PK2l7WJ3RER9xtqwdhxkhw/edit?usp=sharing"",""สระบุรี!M475"")"),233836.68)</f>
        <v>233836.68</v>
      </c>
      <c r="O580" s="373">
        <f t="shared" ref="O580:O584" ca="1" si="124">+IF(L580&gt;0,N580*100/L580,0)</f>
        <v>61.902496360026475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IFERROR(__xludf.DUMMYFUNCTION("IMPORTRANGE(""https://docs.google.com/spreadsheets/d/1SX6NBoVAgQJ6U1MVXOaj8PK2l7WJ3RER9xtqwdhxkhw/edit?usp=sharing"",""สระบุรี!L476"")"),0)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IFERROR(__xludf.DUMMYFUNCTION("IMPORTRANGE(""https://docs.google.com/spreadsheets/d/1SX6NBoVAgQJ6U1MVXOaj8PK2l7WJ3RER9xtqwdhxkhw/edit?usp=sharing"",""สระบุรี!M476"")"),0)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IFERROR(__xludf.DUMMYFUNCTION("IMPORTRANGE(""https://docs.google.com/spreadsheets/d/1SX6NBoVAgQJ6U1MVXOaj8PK2l7WJ3RER9xtqwdhxkhw/edit?usp=sharing"",""สระบุรี!L477"")"),377750)</f>
        <v>377750</v>
      </c>
      <c r="M582" s="165"/>
      <c r="N582" s="169">
        <f ca="1">IFERROR(__xludf.DUMMYFUNCTION("IMPORTRANGE(""https://docs.google.com/spreadsheets/d/1SX6NBoVAgQJ6U1MVXOaj8PK2l7WJ3RER9xtqwdhxkhw/edit?usp=sharing"",""สระบุรี!M477"")"),233836.68)</f>
        <v>233836.68</v>
      </c>
      <c r="O582" s="169">
        <f t="shared" ca="1" si="124"/>
        <v>61.902496360026475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IFERROR(__xludf.DUMMYFUNCTION("IMPORTRANGE(""https://docs.google.com/spreadsheets/d/1SX6NBoVAgQJ6U1MVXOaj8PK2l7WJ3RER9xtqwdhxkhw/edit?usp=sharing"",""สระบุรี!L478"")"),0)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IFERROR(__xludf.DUMMYFUNCTION("IMPORTRANGE(""https://docs.google.com/spreadsheets/d/1SX6NBoVAgQJ6U1MVXOaj8PK2l7WJ3RER9xtqwdhxkhw/edit?usp=sharing"",""สระบุรี!M478"")"),0)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IFERROR(__xludf.DUMMYFUNCTION("IMPORTRANGE(""https://docs.google.com/spreadsheets/d/1SX6NBoVAgQJ6U1MVXOaj8PK2l7WJ3RER9xtqwdhxkhw/edit?usp=sharing"",""สระบุรี!L479"")"),377750)</f>
        <v>377750</v>
      </c>
      <c r="M584" s="169"/>
      <c r="N584" s="169">
        <f ca="1">IFERROR(__xludf.DUMMYFUNCTION("IMPORTRANGE(""https://docs.google.com/spreadsheets/d/1SX6NBoVAgQJ6U1MVXOaj8PK2l7WJ3RER9xtqwdhxkhw/edit?usp=sharing"",""สระบุรี!M479"")"),233836.68)</f>
        <v>233836.68</v>
      </c>
      <c r="O584" s="169">
        <f t="shared" ca="1" si="124"/>
        <v>61.902496360026475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IFERROR(__xludf.DUMMYFUNCTION("IMPORTRANGE(""https://docs.google.com/spreadsheets/d/1SX6NBoVAgQJ6U1MVXOaj8PK2l7WJ3RER9xtqwdhxkhw/edit?usp=sharing"",""สระบุรี!M480"")"),0)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IFERROR(__xludf.DUMMYFUNCTION("IMPORTRANGE(""https://docs.google.com/spreadsheets/d/1SX6NBoVAgQJ6U1MVXOaj8PK2l7WJ3RER9xtqwdhxkhw/edit?usp=sharing"",""สระบุรี!M481"")"),0)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IFERROR(__xludf.DUMMYFUNCTION("IMPORTRANGE(""https://docs.google.com/spreadsheets/d/1SX6NBoVAgQJ6U1MVXOaj8PK2l7WJ3RER9xtqwdhxkhw/edit?usp=sharing"",""สระบุรี!M482"")"),64902)</f>
        <v>64902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IFERROR(__xludf.DUMMYFUNCTION("IMPORTRANGE(""https://docs.google.com/spreadsheets/d/1SX6NBoVAgQJ6U1MVXOaj8PK2l7WJ3RER9xtqwdhxkhw/edit?usp=sharing"",""สระบุรี!M483"")"),168934.68)</f>
        <v>168934.68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IFERROR(__xludf.DUMMYFUNCTION("IMPORTRANGE(""https://docs.google.com/spreadsheets/d/1SX6NBoVAgQJ6U1MVXOaj8PK2l7WJ3RER9xtqwdhxkhw/edit?usp=sharing"",""สระบุรี!I484"")"),250)</f>
        <v>250</v>
      </c>
      <c r="J589" s="188">
        <f ca="1">IFERROR(__xludf.DUMMYFUNCTION("IMPORTRANGE(""https://docs.google.com/spreadsheets/d/1SX6NBoVAgQJ6U1MVXOaj8PK2l7WJ3RER9xtqwdhxkhw/edit?usp=sharing"",""สระบุรี!J484"")"),305)</f>
        <v>305</v>
      </c>
      <c r="K589" s="163">
        <f t="shared" ref="K589:K596" ca="1" si="125">IF(I589&gt;0,J589*100/I589,0)</f>
        <v>122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IFERROR(__xludf.DUMMYFUNCTION("IMPORTRANGE(""https://docs.google.com/spreadsheets/d/1SX6NBoVAgQJ6U1MVXOaj8PK2l7WJ3RER9xtqwdhxkhw/edit?usp=sharing"",""สระบุรี!I485"")"),0)</f>
        <v>0</v>
      </c>
      <c r="J590" s="188">
        <f ca="1">IFERROR(__xludf.DUMMYFUNCTION("IMPORTRANGE(""https://docs.google.com/spreadsheets/d/1SX6NBoVAgQJ6U1MVXOaj8PK2l7WJ3RER9xtqwdhxkhw/edit?usp=sharing"",""สระบุรี!J485"")"),254.74)</f>
        <v>254.74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IFERROR(__xludf.DUMMYFUNCTION("IMPORTRANGE(""https://docs.google.com/spreadsheets/d/1SX6NBoVAgQJ6U1MVXOaj8PK2l7WJ3RER9xtqwdhxkhw/edit?usp=sharing"",""สระบุรี!I486"")"),250)</f>
        <v>250</v>
      </c>
      <c r="J591" s="188">
        <f ca="1">IFERROR(__xludf.DUMMYFUNCTION("IMPORTRANGE(""https://docs.google.com/spreadsheets/d/1SX6NBoVAgQJ6U1MVXOaj8PK2l7WJ3RER9xtqwdhxkhw/edit?usp=sharing"",""สระบุรี!J486"")"),103)</f>
        <v>103</v>
      </c>
      <c r="K591" s="163">
        <f t="shared" ca="1" si="125"/>
        <v>41.2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IFERROR(__xludf.DUMMYFUNCTION("IMPORTRANGE(""https://docs.google.com/spreadsheets/d/1SX6NBoVAgQJ6U1MVXOaj8PK2l7WJ3RER9xtqwdhxkhw/edit?usp=sharing"",""สระบุรี!I487"")"),0)</f>
        <v>0</v>
      </c>
      <c r="J592" s="188">
        <f ca="1">IFERROR(__xludf.DUMMYFUNCTION("IMPORTRANGE(""https://docs.google.com/spreadsheets/d/1SX6NBoVAgQJ6U1MVXOaj8PK2l7WJ3RER9xtqwdhxkhw/edit?usp=sharing"",""สระบุรี!J487"")"),82.82)</f>
        <v>82.82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IFERROR(__xludf.DUMMYFUNCTION("IMPORTRANGE(""https://docs.google.com/spreadsheets/d/1SX6NBoVAgQJ6U1MVXOaj8PK2l7WJ3RER9xtqwdhxkhw/edit?usp=sharing"",""สระบุรี!I488"")"),250)</f>
        <v>250</v>
      </c>
      <c r="J593" s="188">
        <f ca="1">IFERROR(__xludf.DUMMYFUNCTION("IMPORTRANGE(""https://docs.google.com/spreadsheets/d/1SX6NBoVAgQJ6U1MVXOaj8PK2l7WJ3RER9xtqwdhxkhw/edit?usp=sharing"",""สระบุรี!J488"")"),0)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IFERROR(__xludf.DUMMYFUNCTION("IMPORTRANGE(""https://docs.google.com/spreadsheets/d/1SX6NBoVAgQJ6U1MVXOaj8PK2l7WJ3RER9xtqwdhxkhw/edit?usp=sharing"",""สระบุรี!I489"")"),0)</f>
        <v>0</v>
      </c>
      <c r="J594" s="188">
        <f ca="1">IFERROR(__xludf.DUMMYFUNCTION("IMPORTRANGE(""https://docs.google.com/spreadsheets/d/1SX6NBoVAgQJ6U1MVXOaj8PK2l7WJ3RER9xtqwdhxkhw/edit?usp=sharing"",""สระบุรี!J489"")"),0)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IFERROR(__xludf.DUMMYFUNCTION("IMPORTRANGE(""https://docs.google.com/spreadsheets/d/1SX6NBoVAgQJ6U1MVXOaj8PK2l7WJ3RER9xtqwdhxkhw/edit?usp=sharing"",""สระบุรี!I490"")"),250)</f>
        <v>250</v>
      </c>
      <c r="J595" s="188">
        <f ca="1">IFERROR(__xludf.DUMMYFUNCTION("IMPORTRANGE(""https://docs.google.com/spreadsheets/d/1SX6NBoVAgQJ6U1MVXOaj8PK2l7WJ3RER9xtqwdhxkhw/edit?usp=sharing"",""สระบุรี!J490"")"),2)</f>
        <v>2</v>
      </c>
      <c r="K595" s="163">
        <f t="shared" ca="1" si="125"/>
        <v>0.8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IFERROR(__xludf.DUMMYFUNCTION("IMPORTRANGE(""https://docs.google.com/spreadsheets/d/1SX6NBoVAgQJ6U1MVXOaj8PK2l7WJ3RER9xtqwdhxkhw/edit?usp=sharing"",""สระบุรี!I491"")"),0)</f>
        <v>0</v>
      </c>
      <c r="J596" s="242">
        <f ca="1">IFERROR(__xludf.DUMMYFUNCTION("IMPORTRANGE(""https://docs.google.com/spreadsheets/d/1SX6NBoVAgQJ6U1MVXOaj8PK2l7WJ3RER9xtqwdhxkhw/edit?usp=sharing"",""สระบุรี!J491"")"),2.38)</f>
        <v>2.38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IFERROR(__xludf.DUMMYFUNCTION("IMPORTRANGE(""https://docs.google.com/spreadsheets/d/1SX6NBoVAgQJ6U1MVXOaj8PK2l7WJ3RER9xtqwdhxkhw/edit?usp=sharing"",""สระบุรี!I492"")"),50)</f>
        <v>50</v>
      </c>
      <c r="J597" s="488">
        <f ca="1">IFERROR(__xludf.DUMMYFUNCTION("IMPORTRANGE(""https://docs.google.com/spreadsheets/d/1SX6NBoVAgQJ6U1MVXOaj8PK2l7WJ3RER9xtqwdhxkhw/edit?usp=sharing"",""สระบุรี!J492"")"),0)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IFERROR(__xludf.DUMMYFUNCTION("IMPORTRANGE(""https://docs.google.com/spreadsheets/d/1SX6NBoVAgQJ6U1MVXOaj8PK2l7WJ3RER9xtqwdhxkhw/edit?usp=sharing"",""สระบุรี!L492"")"),4550)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IFERROR(__xludf.DUMMYFUNCTION("IMPORTRANGE(""https://docs.google.com/spreadsheets/d/1SX6NBoVAgQJ6U1MVXOaj8PK2l7WJ3RER9xtqwdhxkhw/edit?usp=sharing"",""สระบุรี!M492"")"),1320)</f>
        <v>1320</v>
      </c>
      <c r="O597" s="412">
        <f t="shared" ref="O597:O601" ca="1" si="126">+IF(L597&gt;0,N597*100/L597,0)</f>
        <v>29.010989010989011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IFERROR(__xludf.DUMMYFUNCTION("IMPORTRANGE(""https://docs.google.com/spreadsheets/d/1SX6NBoVAgQJ6U1MVXOaj8PK2l7WJ3RER9xtqwdhxkhw/edit?usp=sharing"",""สระบุรี!L493"")"),0)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IFERROR(__xludf.DUMMYFUNCTION("IMPORTRANGE(""https://docs.google.com/spreadsheets/d/1SX6NBoVAgQJ6U1MVXOaj8PK2l7WJ3RER9xtqwdhxkhw/edit?usp=sharing"",""สระบุรี!M493"")"),0)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IFERROR(__xludf.DUMMYFUNCTION("IMPORTRANGE(""https://docs.google.com/spreadsheets/d/1SX6NBoVAgQJ6U1MVXOaj8PK2l7WJ3RER9xtqwdhxkhw/edit?usp=sharing"",""สระบุรี!L494"")"),4550)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IFERROR(__xludf.DUMMYFUNCTION("IMPORTRANGE(""https://docs.google.com/spreadsheets/d/1SX6NBoVAgQJ6U1MVXOaj8PK2l7WJ3RER9xtqwdhxkhw/edit?usp=sharing"",""สระบุรี!M494"")"),1320)</f>
        <v>1320</v>
      </c>
      <c r="O599" s="169">
        <f t="shared" ca="1" si="126"/>
        <v>29.010989010989011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IFERROR(__xludf.DUMMYFUNCTION("IMPORTRANGE(""https://docs.google.com/spreadsheets/d/1SX6NBoVAgQJ6U1MVXOaj8PK2l7WJ3RER9xtqwdhxkhw/edit?usp=sharing"",""สระบุรี!L495"")"),0)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IFERROR(__xludf.DUMMYFUNCTION("IMPORTRANGE(""https://docs.google.com/spreadsheets/d/1SX6NBoVAgQJ6U1MVXOaj8PK2l7WJ3RER9xtqwdhxkhw/edit?usp=sharing"",""สระบุรี!M495"")"),0)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IFERROR(__xludf.DUMMYFUNCTION("IMPORTRANGE(""https://docs.google.com/spreadsheets/d/1SX6NBoVAgQJ6U1MVXOaj8PK2l7WJ3RER9xtqwdhxkhw/edit?usp=sharing"",""สระบุรี!L496"")"),4550)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IFERROR(__xludf.DUMMYFUNCTION("IMPORTRANGE(""https://docs.google.com/spreadsheets/d/1SX6NBoVAgQJ6U1MVXOaj8PK2l7WJ3RER9xtqwdhxkhw/edit?usp=sharing"",""สระบุรี!M496"")"),1320)</f>
        <v>1320</v>
      </c>
      <c r="O601" s="169">
        <f t="shared" ca="1" si="126"/>
        <v>29.010989010989011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IFERROR(__xludf.DUMMYFUNCTION("IMPORTRANGE(""https://docs.google.com/spreadsheets/d/1SX6NBoVAgQJ6U1MVXOaj8PK2l7WJ3RER9xtqwdhxkhw/edit?usp=sharing"",""สระบุรี!M497"")"),0)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IFERROR(__xludf.DUMMYFUNCTION("IMPORTRANGE(""https://docs.google.com/spreadsheets/d/1SX6NBoVAgQJ6U1MVXOaj8PK2l7WJ3RER9xtqwdhxkhw/edit?usp=sharing"",""สระบุรี!M498"")"),0)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IFERROR(__xludf.DUMMYFUNCTION("IMPORTRANGE(""https://docs.google.com/spreadsheets/d/1SX6NBoVAgQJ6U1MVXOaj8PK2l7WJ3RER9xtqwdhxkhw/edit?usp=sharing"",""สระบุรี!M499"")"),0)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IFERROR(__xludf.DUMMYFUNCTION("IMPORTRANGE(""https://docs.google.com/spreadsheets/d/1SX6NBoVAgQJ6U1MVXOaj8PK2l7WJ3RER9xtqwdhxkhw/edit?usp=sharing"",""สระบุรี!M500"")"),1320)</f>
        <v>1320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IFERROR(__xludf.DUMMYFUNCTION("IMPORTRANGE(""https://docs.google.com/spreadsheets/d/1SX6NBoVAgQJ6U1MVXOaj8PK2l7WJ3RER9xtqwdhxkhw/edit?usp=sharing"",""สระบุรี!J502"")"),0)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IFERROR(__xludf.DUMMYFUNCTION("IMPORTRANGE(""https://docs.google.com/spreadsheets/d/1SX6NBoVAgQJ6U1MVXOaj8PK2l7WJ3RER9xtqwdhxkhw/edit?usp=sharing"",""สระบุรี!J503"")"),1)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IFERROR(__xludf.DUMMYFUNCTION("IMPORTRANGE(""https://docs.google.com/spreadsheets/d/1SX6NBoVAgQJ6U1MVXOaj8PK2l7WJ3RER9xtqwdhxkhw/edit?usp=sharing"",""สระบุรี!J166"")"),1)</f>
        <v>1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IFERROR(__xludf.DUMMYFUNCTION("IMPORTRANGE(""https://docs.google.com/spreadsheets/d/1SX6NBoVAgQJ6U1MVXOaj8PK2l7WJ3RER9xtqwdhxkhw/edit?usp=sharing"",""สระบุรี!J166"")"),1)</f>
        <v>1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IFERROR(__xludf.DUMMYFUNCTION("IMPORTRANGE(""https://docs.google.com/spreadsheets/d/1SX6NBoVAgQJ6U1MVXOaj8PK2l7WJ3RER9xtqwdhxkhw/edit?usp=sharing"",""สระบุรี!I506"")"),50)</f>
        <v>50</v>
      </c>
      <c r="J611" s="162">
        <f ca="1">IFERROR(__xludf.DUMMYFUNCTION("IMPORTRANGE(""https://docs.google.com/spreadsheets/d/1SX6NBoVAgQJ6U1MVXOaj8PK2l7WJ3RER9xtqwdhxkhw/edit?usp=sharing"",""สระบุรี!J506"")"),0)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IFERROR(__xludf.DUMMYFUNCTION("IMPORTRANGE(""https://docs.google.com/spreadsheets/d/1SX6NBoVAgQJ6U1MVXOaj8PK2l7WJ3RER9xtqwdhxkhw/edit?usp=sharing"",""สระบุรี!I507"")"),0)</f>
        <v>0</v>
      </c>
      <c r="J612" s="198">
        <f ca="1">IFERROR(__xludf.DUMMYFUNCTION("IMPORTRANGE(""https://docs.google.com/spreadsheets/d/1SX6NBoVAgQJ6U1MVXOaj8PK2l7WJ3RER9xtqwdhxkhw/edit?usp=sharing"",""สระบุรี!J507"")"),0)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IFERROR(__xludf.DUMMYFUNCTION("IMPORTRANGE(""https://docs.google.com/spreadsheets/d/1SX6NBoVAgQJ6U1MVXOaj8PK2l7WJ3RER9xtqwdhxkhw/edit?usp=sharing"",""สระบุรี!I508"")"),0)</f>
        <v>0</v>
      </c>
      <c r="J613" s="198">
        <f ca="1">IFERROR(__xludf.DUMMYFUNCTION("IMPORTRANGE(""https://docs.google.com/spreadsheets/d/1SX6NBoVAgQJ6U1MVXOaj8PK2l7WJ3RER9xtqwdhxkhw/edit?usp=sharing"",""สระบุรี!J508"")"),0)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IFERROR(__xludf.DUMMYFUNCTION("IMPORTRANGE(""https://docs.google.com/spreadsheets/d/1SX6NBoVAgQJ6U1MVXOaj8PK2l7WJ3RER9xtqwdhxkhw/edit?usp=sharing"",""สระบุรี!I509"")"),0)</f>
        <v>0</v>
      </c>
      <c r="J614" s="198">
        <f ca="1">IFERROR(__xludf.DUMMYFUNCTION("IMPORTRANGE(""https://docs.google.com/spreadsheets/d/1SX6NBoVAgQJ6U1MVXOaj8PK2l7WJ3RER9xtqwdhxkhw/edit?usp=sharing"",""สระบุรี!J509"")"),0)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IFERROR(__xludf.DUMMYFUNCTION("IMPORTRANGE(""https://docs.google.com/spreadsheets/d/1SX6NBoVAgQJ6U1MVXOaj8PK2l7WJ3RER9xtqwdhxkhw/edit?usp=sharing"",""สระบุรี!I510"")"),0)</f>
        <v>0</v>
      </c>
      <c r="J615" s="198">
        <f ca="1">IFERROR(__xludf.DUMMYFUNCTION("IMPORTRANGE(""https://docs.google.com/spreadsheets/d/1SX6NBoVAgQJ6U1MVXOaj8PK2l7WJ3RER9xtqwdhxkhw/edit?usp=sharing"",""สระบุรี!J510"")"),0)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IFERROR(__xludf.DUMMYFUNCTION("IMPORTRANGE(""https://docs.google.com/spreadsheets/d/1SX6NBoVAgQJ6U1MVXOaj8PK2l7WJ3RER9xtqwdhxkhw/edit?usp=sharing"",""สระบุรี!I511"")"),0)</f>
        <v>0</v>
      </c>
      <c r="J616" s="198">
        <f ca="1">IFERROR(__xludf.DUMMYFUNCTION("IMPORTRANGE(""https://docs.google.com/spreadsheets/d/1SX6NBoVAgQJ6U1MVXOaj8PK2l7WJ3RER9xtqwdhxkhw/edit?usp=sharing"",""สระบุรี!J511"")"),0)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IFERROR(__xludf.DUMMYFUNCTION("IMPORTRANGE(""https://docs.google.com/spreadsheets/d/1SX6NBoVAgQJ6U1MVXOaj8PK2l7WJ3RER9xtqwdhxkhw/edit?usp=sharing"",""สระบุรี!I512"")"),0)</f>
        <v>0</v>
      </c>
      <c r="J617" s="188">
        <f ca="1">IFERROR(__xludf.DUMMYFUNCTION("IMPORTRANGE(""https://docs.google.com/spreadsheets/d/1SX6NBoVAgQJ6U1MVXOaj8PK2l7WJ3RER9xtqwdhxkhw/edit?usp=sharing"",""สระบุรี!J512"")"),0)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IFERROR(__xludf.DUMMYFUNCTION("IMPORTRANGE(""https://docs.google.com/spreadsheets/d/1SX6NBoVAgQJ6U1MVXOaj8PK2l7WJ3RER9xtqwdhxkhw/edit?usp=sharing"",""สระบุรี!I513"")"),0)</f>
        <v>0</v>
      </c>
      <c r="J618" s="189">
        <f ca="1">IFERROR(__xludf.DUMMYFUNCTION("IMPORTRANGE(""https://docs.google.com/spreadsheets/d/1SX6NBoVAgQJ6U1MVXOaj8PK2l7WJ3RER9xtqwdhxkhw/edit?usp=sharing"",""สระบุรี!J513"")"),0)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IFERROR(__xludf.DUMMYFUNCTION("IMPORTRANGE(""https://docs.google.com/spreadsheets/d/1SX6NBoVAgQJ6U1MVXOaj8PK2l7WJ3RER9xtqwdhxkhw/edit?usp=sharing"",""สระบุรี!I514"")"),0)</f>
        <v>0</v>
      </c>
      <c r="J619" s="189">
        <f ca="1">IFERROR(__xludf.DUMMYFUNCTION("IMPORTRANGE(""https://docs.google.com/spreadsheets/d/1SX6NBoVAgQJ6U1MVXOaj8PK2l7WJ3RER9xtqwdhxkhw/edit?usp=sharing"",""สระบุรี!J514"")"),0)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IFERROR(__xludf.DUMMYFUNCTION("IMPORTRANGE(""https://docs.google.com/spreadsheets/d/1SX6NBoVAgQJ6U1MVXOaj8PK2l7WJ3RER9xtqwdhxkhw/edit?usp=sharing"",""สระบุรี!I515"")"),0)</f>
        <v>0</v>
      </c>
      <c r="J620" s="203">
        <f ca="1">IFERROR(__xludf.DUMMYFUNCTION("IMPORTRANGE(""https://docs.google.com/spreadsheets/d/1SX6NBoVAgQJ6U1MVXOaj8PK2l7WJ3RER9xtqwdhxkhw/edit?usp=sharing"",""สระบุรี!J515"")"),0)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IFERROR(__xludf.DUMMYFUNCTION("IMPORTRANGE(""https://docs.google.com/spreadsheets/d/1SX6NBoVAgQJ6U1MVXOaj8PK2l7WJ3RER9xtqwdhxkhw/edit?usp=sharing"",""สระบุรี!I516"")"),0)</f>
        <v>0</v>
      </c>
      <c r="J621" s="203">
        <f ca="1">IFERROR(__xludf.DUMMYFUNCTION("IMPORTRANGE(""https://docs.google.com/spreadsheets/d/1SX6NBoVAgQJ6U1MVXOaj8PK2l7WJ3RER9xtqwdhxkhw/edit?usp=sharing"",""สระบุรี!J516"")"),0)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IFERROR(__xludf.DUMMYFUNCTION("IMPORTRANGE(""https://docs.google.com/spreadsheets/d/1SX6NBoVAgQJ6U1MVXOaj8PK2l7WJ3RER9xtqwdhxkhw/edit?usp=sharing"",""สระบุรี!I517"")"),0)</f>
        <v>0</v>
      </c>
      <c r="J622" s="189">
        <f ca="1">IFERROR(__xludf.DUMMYFUNCTION("IMPORTRANGE(""https://docs.google.com/spreadsheets/d/1SX6NBoVAgQJ6U1MVXOaj8PK2l7WJ3RER9xtqwdhxkhw/edit?usp=sharing"",""สระบุรี!J517"")"),0)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IFERROR(__xludf.DUMMYFUNCTION("IMPORTRANGE(""https://docs.google.com/spreadsheets/d/1SX6NBoVAgQJ6U1MVXOaj8PK2l7WJ3RER9xtqwdhxkhw/edit?usp=sharing"",""สระบุรี!I518"")"),0)</f>
        <v>0</v>
      </c>
      <c r="J623" s="189">
        <f ca="1">IFERROR(__xludf.DUMMYFUNCTION("IMPORTRANGE(""https://docs.google.com/spreadsheets/d/1SX6NBoVAgQJ6U1MVXOaj8PK2l7WJ3RER9xtqwdhxkhw/edit?usp=sharing"",""สระบุรี!J518"")"),0)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IFERROR(__xludf.DUMMYFUNCTION("IMPORTRANGE(""https://docs.google.com/spreadsheets/d/1SX6NBoVAgQJ6U1MVXOaj8PK2l7WJ3RER9xtqwdhxkhw/edit?usp=sharing"",""สระบุรี!I519"")"),0)</f>
        <v>0</v>
      </c>
      <c r="J624" s="188">
        <f ca="1">IFERROR(__xludf.DUMMYFUNCTION("IMPORTRANGE(""https://docs.google.com/spreadsheets/d/1SX6NBoVAgQJ6U1MVXOaj8PK2l7WJ3RER9xtqwdhxkhw/edit?usp=sharing"",""สระบุรี!J519"")"),0)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IFERROR(__xludf.DUMMYFUNCTION("IMPORTRANGE(""https://docs.google.com/spreadsheets/d/1SX6NBoVAgQJ6U1MVXOaj8PK2l7WJ3RER9xtqwdhxkhw/edit?usp=sharing"",""สระบุรี!I520"")"),0)</f>
        <v>0</v>
      </c>
      <c r="J625" s="189">
        <f ca="1">IFERROR(__xludf.DUMMYFUNCTION("IMPORTRANGE(""https://docs.google.com/spreadsheets/d/1SX6NBoVAgQJ6U1MVXOaj8PK2l7WJ3RER9xtqwdhxkhw/edit?usp=sharing"",""สระบุรี!J520"")"),0)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IFERROR(__xludf.DUMMYFUNCTION("IMPORTRANGE(""https://docs.google.com/spreadsheets/d/1SX6NBoVAgQJ6U1MVXOaj8PK2l7WJ3RER9xtqwdhxkhw/edit?usp=sharing"",""สระบุรี!I521"")"),0)</f>
        <v>0</v>
      </c>
      <c r="J626" s="189">
        <f ca="1">IFERROR(__xludf.DUMMYFUNCTION("IMPORTRANGE(""https://docs.google.com/spreadsheets/d/1SX6NBoVAgQJ6U1MVXOaj8PK2l7WJ3RER9xtqwdhxkhw/edit?usp=sharing"",""สระบุรี!J521"")"),0)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2">
        <f ca="1">IFERROR(__xludf.DUMMYFUNCTION("IMPORTRANGE(""https://docs.google.com/spreadsheets/d/1SX6NBoVAgQJ6U1MVXOaj8PK2l7WJ3RER9xtqwdhxkhw/edit?usp=sharing"",""สระบุรี!J523"")"),945210.35)</f>
        <v>945210.35</v>
      </c>
      <c r="K628" s="343">
        <f t="shared" ref="K628:K635" ca="1" si="129">IF(I628&gt;0,J628*100/I628,0)</f>
        <v>38.600668794594398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IFERROR(__xludf.DUMMYFUNCTION("IMPORTRANGE(""https://docs.google.com/spreadsheets/d/1SX6NBoVAgQJ6U1MVXOaj8PK2l7WJ3RER9xtqwdhxkhw/edit?usp=sharing"",""สระบุรี!I524"")"),168)</f>
        <v>168</v>
      </c>
      <c r="J629" s="342">
        <f ca="1">IFERROR(__xludf.DUMMYFUNCTION("IMPORTRANGE(""https://docs.google.com/spreadsheets/d/1SX6NBoVAgQJ6U1MVXOaj8PK2l7WJ3RER9xtqwdhxkhw/edit?usp=sharing"",""สระบุรี!J524"")"),74)</f>
        <v>74</v>
      </c>
      <c r="K629" s="343">
        <f t="shared" ca="1" si="129"/>
        <v>44.047619047619051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2">
        <f ca="1">IFERROR(__xludf.DUMMYFUNCTION("IMPORTRANGE(""https://docs.google.com/spreadsheets/d/1SX6NBoVAgQJ6U1MVXOaj8PK2l7WJ3RER9xtqwdhxkhw/edit?usp=sharing"",""สระบุรี!J525"")"),667945.84)</f>
        <v>667945.84</v>
      </c>
      <c r="K630" s="343">
        <f t="shared" ca="1" si="129"/>
        <v>3.9244694404482185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IFERROR(__xludf.DUMMYFUNCTION("IMPORTRANGE(""https://docs.google.com/spreadsheets/d/1SX6NBoVAgQJ6U1MVXOaj8PK2l7WJ3RER9xtqwdhxkhw/edit?usp=sharing"",""สระบุรี!I526"")"),253)</f>
        <v>253</v>
      </c>
      <c r="J631" s="342">
        <f ca="1">IFERROR(__xludf.DUMMYFUNCTION("IMPORTRANGE(""https://docs.google.com/spreadsheets/d/1SX6NBoVAgQJ6U1MVXOaj8PK2l7WJ3RER9xtqwdhxkhw/edit?usp=sharing"",""สระบุรี!J526"")"),73)</f>
        <v>73</v>
      </c>
      <c r="K631" s="343">
        <f t="shared" ca="1" si="129"/>
        <v>28.853754940711461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2">
        <f ca="1">IFERROR(__xludf.DUMMYFUNCTION("IMPORTRANGE(""https://docs.google.com/spreadsheets/d/1SX6NBoVAgQJ6U1MVXOaj8PK2l7WJ3RER9xtqwdhxkhw/edit?usp=sharing"",""สระบุรี!J527"")"),198621.63)</f>
        <v>198621.63</v>
      </c>
      <c r="K632" s="343">
        <f t="shared" ca="1" si="129"/>
        <v>8.0624232973495751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IFERROR(__xludf.DUMMYFUNCTION("IMPORTRANGE(""https://docs.google.com/spreadsheets/d/1SX6NBoVAgQJ6U1MVXOaj8PK2l7WJ3RER9xtqwdhxkhw/edit?usp=sharing"",""สระบุรี!I528"")"),90)</f>
        <v>90</v>
      </c>
      <c r="J633" s="342">
        <f ca="1">IFERROR(__xludf.DUMMYFUNCTION("IMPORTRANGE(""https://docs.google.com/spreadsheets/d/1SX6NBoVAgQJ6U1MVXOaj8PK2l7WJ3RER9xtqwdhxkhw/edit?usp=sharing"",""สระบุรี!J528"")"),32)</f>
        <v>32</v>
      </c>
      <c r="K633" s="343">
        <f t="shared" ca="1" si="129"/>
        <v>35.555555555555557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IFERROR(__xludf.DUMMYFUNCTION("IMPORTRANGE(""https://docs.google.com/spreadsheets/d/1SX6NBoVAgQJ6U1MVXOaj8PK2l7WJ3RER9xtqwdhxkhw/edit?usp=sharing"",""สระบุรี!I529"")"),5265000)</f>
        <v>5265000</v>
      </c>
      <c r="J634" s="342">
        <f ca="1">IFERROR(__xludf.DUMMYFUNCTION("IMPORTRANGE(""https://docs.google.com/spreadsheets/d/1SX6NBoVAgQJ6U1MVXOaj8PK2l7WJ3RER9xtqwdhxkhw/edit?usp=sharing"",""สระบุรี!J529"")"),650000)</f>
        <v>650000</v>
      </c>
      <c r="K634" s="343">
        <f t="shared" ca="1" si="129"/>
        <v>12.345679012345679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IFERROR(__xludf.DUMMYFUNCTION("IMPORTRANGE(""https://docs.google.com/spreadsheets/d/1SX6NBoVAgQJ6U1MVXOaj8PK2l7WJ3RER9xtqwdhxkhw/edit?usp=sharing"",""สระบุรี!I530"")"),134)</f>
        <v>134</v>
      </c>
      <c r="J635" s="505">
        <f ca="1">IFERROR(__xludf.DUMMYFUNCTION("IMPORTRANGE(""https://docs.google.com/spreadsheets/d/1SX6NBoVAgQJ6U1MVXOaj8PK2l7WJ3RER9xtqwdhxkhw/edit?usp=sharing"",""สระบุรี!J530"")"),13)</f>
        <v>13</v>
      </c>
      <c r="K635" s="487">
        <f t="shared" ca="1" si="129"/>
        <v>9.7014925373134329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9915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9915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9915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IFERROR(__xludf.DUMMYFUNCTION("IMPORTRANGE(""https://docs.google.com/spreadsheets/d/1SX6NBoVAgQJ6U1MVXOaj8PK2l7WJ3RER9xtqwdhxkhw/edit#gid=346597447"",""สระบุรี!J541"")"),0)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IFERROR(__xludf.DUMMYFUNCTION("IMPORTRANGE(""https://docs.google.com/spreadsheets/d/1SX6NBoVAgQJ6U1MVXOaj8PK2l7WJ3RER9xtqwdhxkhw/edit#gid=346597447"",""สระบุรี!J542"")"),0)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IFERROR(__xludf.DUMMYFUNCTION("IMPORTRANGE(""https://docs.google.com/spreadsheets/d/1SX6NBoVAgQJ6U1MVXOaj8PK2l7WJ3RER9xtqwdhxkhw/edit#gid=346597447"",""สระบุรี!I543"")"),0)</f>
        <v>0</v>
      </c>
      <c r="J648" s="537">
        <f ca="1">IFERROR(__xludf.DUMMYFUNCTION("IMPORTRANGE(""https://docs.google.com/spreadsheets/d/1SX6NBoVAgQJ6U1MVXOaj8PK2l7WJ3RER9xtqwdhxkhw/edit#gid=346597447"",""สระบุรี!J543"")"),0)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IFERROR(__xludf.DUMMYFUNCTION("IMPORTRANGE(""https://docs.google.com/spreadsheets/d/1SX6NBoVAgQJ6U1MVXOaj8PK2l7WJ3RER9xtqwdhxkhw/edit#gid=346597447"",""สระบุรี!L543"")"),0)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IFERROR(__xludf.DUMMYFUNCTION("IMPORTRANGE(""https://docs.google.com/spreadsheets/d/1SX6NBoVAgQJ6U1MVXOaj8PK2l7WJ3RER9xtqwdhxkhw/edit#gid=346597447"",""สระบุรี!M543"")"),0)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IFERROR(__xludf.DUMMYFUNCTION("IMPORTRANGE(""https://docs.google.com/spreadsheets/d/1SX6NBoVAgQJ6U1MVXOaj8PK2l7WJ3RER9xtqwdhxkhw/edit#gid=346597447"",""สระบุรี!I544"")"),0)</f>
        <v>0</v>
      </c>
      <c r="J649" s="537">
        <f ca="1">IFERROR(__xludf.DUMMYFUNCTION("IMPORTRANGE(""https://docs.google.com/spreadsheets/d/1SX6NBoVAgQJ6U1MVXOaj8PK2l7WJ3RER9xtqwdhxkhw/edit#gid=346597447"",""สระบุรี!J544"")"),0)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IFERROR(__xludf.DUMMYFUNCTION("IMPORTRANGE(""https://docs.google.com/spreadsheets/d/1SX6NBoVAgQJ6U1MVXOaj8PK2l7WJ3RER9xtqwdhxkhw/edit#gid=346597447"",""สระบุรี!L544"")"),0)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IFERROR(__xludf.DUMMYFUNCTION("IMPORTRANGE(""https://docs.google.com/spreadsheets/d/1SX6NBoVAgQJ6U1MVXOaj8PK2l7WJ3RER9xtqwdhxkhw/edit#gid=346597447"",""สระบุรี!M544"")"),0)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IFERROR(__xludf.DUMMYFUNCTION("IMPORTRANGE(""https://docs.google.com/spreadsheets/d/1SX6NBoVAgQJ6U1MVXOaj8PK2l7WJ3RER9xtqwdhxkhw/edit#gid=346597447"",""สระบุรี!I545"")"),23)</f>
        <v>23</v>
      </c>
      <c r="J650" s="537">
        <f ca="1">IFERROR(__xludf.DUMMYFUNCTION("IMPORTRANGE(""https://docs.google.com/spreadsheets/d/1SX6NBoVAgQJ6U1MVXOaj8PK2l7WJ3RER9xtqwdhxkhw/edit#gid=346597447"",""สระบุรี!J545"")"),0)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IFERROR(__xludf.DUMMYFUNCTION("IMPORTRANGE(""https://docs.google.com/spreadsheets/d/1SX6NBoVAgQJ6U1MVXOaj8PK2l7WJ3RER9xtqwdhxkhw/edit#gid=346597447"",""สระบุรี!L545"")"),115)</f>
        <v>115</v>
      </c>
      <c r="M650" s="522"/>
      <c r="N650" s="539">
        <f ca="1">IFERROR(__xludf.DUMMYFUNCTION("IMPORTRANGE(""https://docs.google.com/spreadsheets/d/1SX6NBoVAgQJ6U1MVXOaj8PK2l7WJ3RER9xtqwdhxkhw/edit#gid=346597447"",""สระบุรี!M545"")"),0)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IFERROR(__xludf.DUMMYFUNCTION("IMPORTRANGE(""https://docs.google.com/spreadsheets/d/1SX6NBoVAgQJ6U1MVXOaj8PK2l7WJ3RER9xtqwdhxkhw/edit#gid=346597447"",""สระบุรี!I546"")"),0)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IFERROR(__xludf.DUMMYFUNCTION("IMPORTRANGE(""https://docs.google.com/spreadsheets/d/1SX6NBoVAgQJ6U1MVXOaj8PK2l7WJ3RER9xtqwdhxkhw/edit#gid=346597447"",""สระบุรี!L546"")"),0)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IFERROR(__xludf.DUMMYFUNCTION("IMPORTRANGE(""https://docs.google.com/spreadsheets/d/1SX6NBoVAgQJ6U1MVXOaj8PK2l7WJ3RER9xtqwdhxkhw/edit#gid=346597447"",""สระบุรี!M546"")"),0)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IFERROR(__xludf.DUMMYFUNCTION("IMPORTRANGE(""https://docs.google.com/spreadsheets/d/1SX6NBoVAgQJ6U1MVXOaj8PK2l7WJ3RER9xtqwdhxkhw/edit#gid=346597447"",""สระบุรี!J547"")"),0)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IFERROR(__xludf.DUMMYFUNCTION("IMPORTRANGE(""https://docs.google.com/spreadsheets/d/1SX6NBoVAgQJ6U1MVXOaj8PK2l7WJ3RER9xtqwdhxkhw/edit#gid=346597447"",""สระบุรี!J548"")"),0)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IFERROR(__xludf.DUMMYFUNCTION("IMPORTRANGE(""https://docs.google.com/spreadsheets/d/1SX6NBoVAgQJ6U1MVXOaj8PK2l7WJ3RER9xtqwdhxkhw/edit#gid=346597447"",""สระบุรี!J550"")"),0)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IFERROR(__xludf.DUMMYFUNCTION("IMPORTRANGE(""https://docs.google.com/spreadsheets/d/1SX6NBoVAgQJ6U1MVXOaj8PK2l7WJ3RER9xtqwdhxkhw/edit#gid=346597447"",""สระบุรี!J551"")"),0)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IFERROR(__xludf.DUMMYFUNCTION("IMPORTRANGE(""https://docs.google.com/spreadsheets/d/1SX6NBoVAgQJ6U1MVXOaj8PK2l7WJ3RER9xtqwdhxkhw/edit#gid=346597447"",""สระบุรี!J552"")"),0)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IFERROR(__xludf.DUMMYFUNCTION("IMPORTRANGE(""https://docs.google.com/spreadsheets/d/1SX6NBoVAgQJ6U1MVXOaj8PK2l7WJ3RER9xtqwdhxkhw/edit#gid=346597447"",""สระบุรี!J553"")"),0)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IFERROR(__xludf.DUMMYFUNCTION("IMPORTRANGE(""https://docs.google.com/spreadsheets/d/1SX6NBoVAgQJ6U1MVXOaj8PK2l7WJ3RER9xtqwdhxkhw/edit#gid=346597447"",""สระบุรี!J554"")"),0)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IFERROR(__xludf.DUMMYFUNCTION("IMPORTRANGE(""https://docs.google.com/spreadsheets/d/1SX6NBoVAgQJ6U1MVXOaj8PK2l7WJ3RER9xtqwdhxkhw/edit#gid=346597447"",""สระบุรี!J555"")"),0)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IFERROR(__xludf.DUMMYFUNCTION("IMPORTRANGE(""https://docs.google.com/spreadsheets/d/1SX6NBoVAgQJ6U1MVXOaj8PK2l7WJ3RER9xtqwdhxkhw/edit#gid=346597447"",""สระบุรี!J556"")"),0)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IFERROR(__xludf.DUMMYFUNCTION("IMPORTRANGE(""https://docs.google.com/spreadsheets/d/1SX6NBoVAgQJ6U1MVXOaj8PK2l7WJ3RER9xtqwdhxkhw/edit#gid=346597447"",""สระบุรี!L556"")"),8000)</f>
        <v>8000</v>
      </c>
      <c r="M661" s="522"/>
      <c r="N661" s="539">
        <f ca="1">IFERROR(__xludf.DUMMYFUNCTION("IMPORTRANGE(""https://docs.google.com/spreadsheets/d/1SX6NBoVAgQJ6U1MVXOaj8PK2l7WJ3RER9xtqwdhxkhw/edit#gid=346597447"",""สระบุรี!M556"")"),0)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IFERROR(__xludf.DUMMYFUNCTION("IMPORTRANGE(""https://docs.google.com/spreadsheets/d/1SX6NBoVAgQJ6U1MVXOaj8PK2l7WJ3RER9xtqwdhxkhw/edit#gid=346597447"",""สระบุรี!J557"")"),0)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IFERROR(__xludf.DUMMYFUNCTION("IMPORTRANGE(""https://docs.google.com/spreadsheets/d/1SX6NBoVAgQJ6U1MVXOaj8PK2l7WJ3RER9xtqwdhxkhw/edit#gid=346597447"",""สระบุรี!I558"")"),200)</f>
        <v>200</v>
      </c>
      <c r="J663" s="537">
        <f ca="1">IFERROR(__xludf.DUMMYFUNCTION("IMPORTRANGE(""https://docs.google.com/spreadsheets/d/1SX6NBoVAgQJ6U1MVXOaj8PK2l7WJ3RER9xtqwdhxkhw/edit#gid=346597447"",""สระบุรี!J558"")"),0)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IFERROR(__xludf.DUMMYFUNCTION("IMPORTRANGE(""https://docs.google.com/spreadsheets/d/1SX6NBoVAgQJ6U1MVXOaj8PK2l7WJ3RER9xtqwdhxkhw/edit#gid=346597447"",""สระบุรี!I560"")"),15)</f>
        <v>15</v>
      </c>
      <c r="J665" s="537">
        <f ca="1">IFERROR(__xludf.DUMMYFUNCTION("IMPORTRANGE(""https://docs.google.com/spreadsheets/d/1SX6NBoVAgQJ6U1MVXOaj8PK2l7WJ3RER9xtqwdhxkhw/edit#gid=346597447"",""สระบุรี!J560"")"),0)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IFERROR(__xludf.DUMMYFUNCTION("IMPORTRANGE(""https://docs.google.com/spreadsheets/d/1SX6NBoVAgQJ6U1MVXOaj8PK2l7WJ3RER9xtqwdhxkhw/edit#gid=346597447"",""สระบุรี!L560"")"),1800)</f>
        <v>1800</v>
      </c>
      <c r="M665" s="522"/>
      <c r="N665" s="539">
        <f ca="1">IFERROR(__xludf.DUMMYFUNCTION("IMPORTRANGE(""https://docs.google.com/spreadsheets/d/1SX6NBoVAgQJ6U1MVXOaj8PK2l7WJ3RER9xtqwdhxkhw/edit#gid=346597447"",""สระบุรี!M560"")"),0)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IFERROR(__xludf.DUMMYFUNCTION("IMPORTRANGE(""https://docs.google.com/spreadsheets/d/1SX6NBoVAgQJ6U1MVXOaj8PK2l7WJ3RER9xtqwdhxkhw/edit#gid=346597447"",""สระบุรี!J561"")"),0)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IFERROR(__xludf.DUMMYFUNCTION("IMPORTRANGE(""https://docs.google.com/spreadsheets/d/1SX6NBoVAgQJ6U1MVXOaj8PK2l7WJ3RER9xtqwdhxkhw/edit#gid=346597447"",""สระบุรี!J562"")"),0)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IFERROR(__xludf.DUMMYFUNCTION("IMPORTRANGE(""https://docs.google.com/spreadsheets/d/1SX6NBoVAgQJ6U1MVXOaj8PK2l7WJ3RER9xtqwdhxkhw/edit#gid=346597447"",""สระบุรี!I563"")"),0)</f>
        <v>0</v>
      </c>
      <c r="J668" s="537">
        <f ca="1">IFERROR(__xludf.DUMMYFUNCTION("IMPORTRANGE(""https://docs.google.com/spreadsheets/d/1SX6NBoVAgQJ6U1MVXOaj8PK2l7WJ3RER9xtqwdhxkhw/edit#gid=346597447"",""สระบุรี!J563"")"),0)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IFERROR(__xludf.DUMMYFUNCTION("IMPORTRANGE(""https://docs.google.com/spreadsheets/d/1SX6NBoVAgQJ6U1MVXOaj8PK2l7WJ3RER9xtqwdhxkhw/edit#gid=346597447"",""สระบุรี!L563"")"),0)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IFERROR(__xludf.DUMMYFUNCTION("IMPORTRANGE(""https://docs.google.com/spreadsheets/d/1SX6NBoVAgQJ6U1MVXOaj8PK2l7WJ3RER9xtqwdhxkhw/edit#gid=346597447"",""สระบุรี!M563"")"),0)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IFERROR(__xludf.DUMMYFUNCTION("IMPORTRANGE(""https://docs.google.com/spreadsheets/d/1SX6NBoVAgQJ6U1MVXOaj8PK2l7WJ3RER9xtqwdhxkhw/edit#gid=346597447"",""สระบุรี!J564"")"),0)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IFERROR(__xludf.DUMMYFUNCTION("IMPORTRANGE(""https://docs.google.com/spreadsheets/d/1SX6NBoVAgQJ6U1MVXOaj8PK2l7WJ3RER9xtqwdhxkhw/edit#gid=346597447"",""สระบุรี!J565"")"),0)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IFERROR(__xludf.DUMMYFUNCTION("IMPORTRANGE(""https://docs.google.com/spreadsheets/d/1SX6NBoVAgQJ6U1MVXOaj8PK2l7WJ3RER9xtqwdhxkhw/edit#gid=346597447"",""สระบุรี!I566"")"),0)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IFERROR(__xludf.DUMMYFUNCTION("IMPORTRANGE(""https://docs.google.com/spreadsheets/d/1SX6NBoVAgQJ6U1MVXOaj8PK2l7WJ3RER9xtqwdhxkhw/edit#gid=346597447"",""สระบุรี!L566"")"),0)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IFERROR(__xludf.DUMMYFUNCTION("IMPORTRANGE(""https://docs.google.com/spreadsheets/d/1SX6NBoVAgQJ6U1MVXOaj8PK2l7WJ3RER9xtqwdhxkhw/edit#gid=346597447"",""สระบุรี!M566"")"),0)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IFERROR(__xludf.DUMMYFUNCTION("IMPORTRANGE(""https://docs.google.com/spreadsheets/d/1SX6NBoVAgQJ6U1MVXOaj8PK2l7WJ3RER9xtqwdhxkhw/edit#gid=346597447"",""สระบุรี!J567"")"),0)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IFERROR(__xludf.DUMMYFUNCTION("IMPORTRANGE(""https://docs.google.com/spreadsheets/d/1SX6NBoVAgQJ6U1MVXOaj8PK2l7WJ3RER9xtqwdhxkhw/edit#gid=346597447"",""สระบุรี!J568"")"),0)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IFERROR(__xludf.DUMMYFUNCTION("IMPORTRANGE(""https://docs.google.com/spreadsheets/d/1SX6NBoVAgQJ6U1MVXOaj8PK2l7WJ3RER9xtqwdhxkhw/edit#gid=346597447"",""สระบุรี!J569"")"),0)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IFERROR(__xludf.DUMMYFUNCTION("IMPORTRANGE(""https://docs.google.com/spreadsheets/d/1SX6NBoVAgQJ6U1MVXOaj8PK2l7WJ3RER9xtqwdhxkhw/edit#gid=346597447"",""สระบุรี!J570"")"),0)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IFERROR(__xludf.DUMMYFUNCTION("IMPORTRANGE(""https://docs.google.com/spreadsheets/d/1SX6NBoVAgQJ6U1MVXOaj8PK2l7WJ3RER9xtqwdhxkhw/edit#gid=346597447"",""สระบุรี!J571"")"),0)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IFERROR(__xludf.DUMMYFUNCTION("IMPORTRANGE(""https://docs.google.com/spreadsheets/d/1SX6NBoVAgQJ6U1MVXOaj8PK2l7WJ3RER9xtqwdhxkhw/edit#gid=346597447"",""สระบุรี!J572"")"),0)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7727464</v>
      </c>
      <c r="M8" s="23">
        <f t="shared" ca="1" si="0"/>
        <v>4556844</v>
      </c>
      <c r="N8" s="23">
        <f t="shared" ca="1" si="0"/>
        <v>4886526.22</v>
      </c>
      <c r="O8" s="22">
        <f t="shared" ref="O8:O16" ca="1" si="1">IF(L8&gt;0,N8*100/L8,0)</f>
        <v>63.235832868325232</v>
      </c>
      <c r="P8" s="22">
        <f t="shared" ref="P8:P16" ca="1" si="2">IF(M8&gt;0,N8*100/M8,0)</f>
        <v>107.23488054451721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7727464</v>
      </c>
      <c r="M10" s="30">
        <f t="shared" ca="1" si="4"/>
        <v>4556844</v>
      </c>
      <c r="N10" s="30">
        <f t="shared" ca="1" si="4"/>
        <v>4886526.22</v>
      </c>
      <c r="O10" s="29">
        <f t="shared" ca="1" si="1"/>
        <v>63.235832868325232</v>
      </c>
      <c r="P10" s="29">
        <f t="shared" ca="1" si="2"/>
        <v>107.23488054451721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7220148</v>
      </c>
      <c r="M12" s="38">
        <f t="shared" ca="1" si="6"/>
        <v>4049528</v>
      </c>
      <c r="N12" s="38">
        <f t="shared" ca="1" si="6"/>
        <v>4483226.22</v>
      </c>
      <c r="O12" s="38">
        <f t="shared" ca="1" si="1"/>
        <v>62.093273157281537</v>
      </c>
      <c r="P12" s="38">
        <f t="shared" ca="1" si="2"/>
        <v>110.70984618454298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2470000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4750148</v>
      </c>
      <c r="M14" s="38">
        <f t="shared" si="8"/>
        <v>0</v>
      </c>
      <c r="N14" s="38">
        <f t="shared" ca="1" si="8"/>
        <v>1405461.47</v>
      </c>
      <c r="O14" s="38">
        <f t="shared" ca="1" si="1"/>
        <v>29.587740634607595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507316</v>
      </c>
      <c r="M16" s="38">
        <f t="shared" ca="1" si="10"/>
        <v>507316</v>
      </c>
      <c r="N16" s="38">
        <f t="shared" ca="1" si="10"/>
        <v>403300</v>
      </c>
      <c r="O16" s="49">
        <f t="shared" ca="1" si="1"/>
        <v>79.496802781698193</v>
      </c>
      <c r="P16" s="49">
        <f t="shared" ca="1" si="2"/>
        <v>79.496802781698193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4493426</v>
      </c>
      <c r="M18" s="23">
        <f t="shared" ca="1" si="11"/>
        <v>4556844</v>
      </c>
      <c r="N18" s="23">
        <f t="shared" ca="1" si="11"/>
        <v>3481064.75</v>
      </c>
      <c r="O18" s="22">
        <f t="shared" ref="O18:O20" ca="1" si="12">IF(L18&gt;0,N18*100/L18,0)</f>
        <v>77.470169754659366</v>
      </c>
      <c r="P18" s="22">
        <f t="shared" ref="P18:P26" ca="1" si="13">IF(M18&gt;0,N18*100/M18,0)</f>
        <v>76.392010566962568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4493426</v>
      </c>
      <c r="M20" s="30">
        <f t="shared" ca="1" si="15"/>
        <v>4556844</v>
      </c>
      <c r="N20" s="30">
        <f t="shared" ca="1" si="15"/>
        <v>3481064.75</v>
      </c>
      <c r="O20" s="29">
        <f t="shared" ca="1" si="12"/>
        <v>77.470169754659366</v>
      </c>
      <c r="P20" s="29">
        <f t="shared" ca="1" si="13"/>
        <v>76.392010566962568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3986110</v>
      </c>
      <c r="M22" s="41">
        <f t="shared" ca="1" si="18"/>
        <v>4049528</v>
      </c>
      <c r="N22" s="38">
        <f t="shared" ca="1" si="18"/>
        <v>3077764.75</v>
      </c>
      <c r="O22" s="38">
        <f t="shared" ca="1" si="17"/>
        <v>77.212238247313792</v>
      </c>
      <c r="P22" s="38">
        <f t="shared" ca="1" si="13"/>
        <v>76.003048997315247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2470000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1516110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507316</v>
      </c>
      <c r="M26" s="49">
        <f t="shared" ca="1" si="22"/>
        <v>507316</v>
      </c>
      <c r="N26" s="49">
        <f t="shared" ca="1" si="22"/>
        <v>403300</v>
      </c>
      <c r="O26" s="49">
        <f t="shared" ca="1" si="17"/>
        <v>79.496802781698193</v>
      </c>
      <c r="P26" s="49">
        <f t="shared" ca="1" si="13"/>
        <v>79.496802781698193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3234038</v>
      </c>
      <c r="M28" s="23">
        <f t="shared" si="23"/>
        <v>0</v>
      </c>
      <c r="N28" s="23">
        <f t="shared" ca="1" si="23"/>
        <v>1405461.47</v>
      </c>
      <c r="O28" s="22">
        <f t="shared" ref="O28:O30" ca="1" si="24">IF(L28&gt;0,N28*100/L28,0)</f>
        <v>43.458409270391996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3234038</v>
      </c>
      <c r="M30" s="30">
        <f t="shared" si="27"/>
        <v>0</v>
      </c>
      <c r="N30" s="30">
        <f t="shared" ca="1" si="27"/>
        <v>1405461.47</v>
      </c>
      <c r="O30" s="29">
        <f t="shared" ca="1" si="24"/>
        <v>43.458409270391996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3234038</v>
      </c>
      <c r="M32" s="38">
        <f t="shared" si="30"/>
        <v>0</v>
      </c>
      <c r="N32" s="38">
        <f t="shared" ca="1" si="30"/>
        <v>1405461.47</v>
      </c>
      <c r="O32" s="38">
        <f t="shared" ca="1" si="29"/>
        <v>43.458409270391996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3234038</v>
      </c>
      <c r="M34" s="38">
        <f t="shared" si="32"/>
        <v>0</v>
      </c>
      <c r="N34" s="38">
        <f t="shared" ca="1" si="32"/>
        <v>1405461.47</v>
      </c>
      <c r="O34" s="38">
        <f t="shared" ca="1" si="29"/>
        <v>43.458409270391996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4493426</v>
      </c>
      <c r="M37" s="54">
        <f t="shared" ca="1" si="33"/>
        <v>4556844</v>
      </c>
      <c r="N37" s="54">
        <f t="shared" ca="1" si="33"/>
        <v>3481064.75</v>
      </c>
      <c r="O37" s="55">
        <f t="shared" ca="1" si="29"/>
        <v>77.470169754659366</v>
      </c>
      <c r="P37" s="55">
        <f t="shared" ca="1" si="25"/>
        <v>76.392010566962568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1189116</v>
      </c>
      <c r="M41" s="78">
        <f t="shared" ca="1" si="34"/>
        <v>1229116</v>
      </c>
      <c r="N41" s="78">
        <f t="shared" ca="1" si="34"/>
        <v>879511.54</v>
      </c>
      <c r="O41" s="77">
        <f t="shared" ref="O41:O43" ca="1" si="35">IF(L41&gt;0,N41*100/L41,0)</f>
        <v>73.963477070361506</v>
      </c>
      <c r="P41" s="77">
        <f t="shared" ref="P41:P43" ca="1" si="36">IF(M41&gt;0,N41*100/M41,0)</f>
        <v>71.556430800672999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1189116</v>
      </c>
      <c r="M43" s="78">
        <f t="shared" ca="1" si="38"/>
        <v>1229116</v>
      </c>
      <c r="N43" s="78">
        <f t="shared" ca="1" si="38"/>
        <v>879511.54</v>
      </c>
      <c r="O43" s="77">
        <f t="shared" ca="1" si="35"/>
        <v>73.963477070361506</v>
      </c>
      <c r="P43" s="77">
        <f t="shared" ca="1" si="36"/>
        <v>71.556430800672999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989100</v>
      </c>
      <c r="M45" s="49">
        <f ca="1">IFERROR(__xludf.DUMMYFUNCTION("IMPORTRANGE(""https://docs.google.com/spreadsheets/d/1Yj_ptqi66GCucihVvJfMjLAmec39IyEx_6qawtMGysU/edit?usp=sharing"",""สบก!Q59"")"),1029100)</f>
        <v>1029100</v>
      </c>
      <c r="N45" s="49">
        <f ca="1">IFERROR(__xludf.DUMMYFUNCTION("IMPORTRANGE(""https://docs.google.com/spreadsheets/d/1Yj_ptqi66GCucihVvJfMjLAmec39IyEx_6qawtMGysU/edit?usp=sharing"",""สบก!R59"")"),783511.54)</f>
        <v>783511.54</v>
      </c>
      <c r="O45" s="38">
        <f ca="1">IF(L45&gt;0,N45*100/L45,0)</f>
        <v>79.214593064401981</v>
      </c>
      <c r="P45" s="38">
        <f ca="1">IF(M45&gt;0,N45*100/M45,0)</f>
        <v>76.135607812651827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IFERROR(__xludf.DUMMYFUNCTION("IMPORTRANGE(""https://docs.google.com/spreadsheets/d/1Yj_ptqi66GCucihVvJfMjLAmec39IyEx_6qawtMGysU/edit?usp=sharing"",""สบก!M59"")"),989100)</f>
        <v>989100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IFERROR(__xludf.DUMMYFUNCTION("IMPORTRANGE(""https://docs.google.com/spreadsheets/d/1Yj_ptqi66GCucihVvJfMjLAmec39IyEx_6qawtMGysU/edit?usp=sharing"",""สบก!O59"")"),200016)</f>
        <v>200016</v>
      </c>
      <c r="M49" s="49">
        <f ca="1">L49</f>
        <v>200016</v>
      </c>
      <c r="N49" s="49">
        <f ca="1">IFERROR(__xludf.DUMMYFUNCTION("IMPORTRANGE(""https://docs.google.com/spreadsheets/d/1Yj_ptqi66GCucihVvJfMjLAmec39IyEx_6qawtMGysU/edit?usp=sharing"",""สบก!S59"")"),96000)</f>
        <v>96000</v>
      </c>
      <c r="O49" s="49">
        <f ca="1">IF(L49&gt;0,N49*100/L49,0)</f>
        <v>47.996160307175423</v>
      </c>
      <c r="P49" s="49">
        <f ca="1">IF(M49&gt;0,N49*100/M49,0)</f>
        <v>47.996160307175423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487000</v>
      </c>
      <c r="M53" s="121">
        <f t="shared" ca="1" si="39"/>
        <v>514478</v>
      </c>
      <c r="N53" s="121">
        <f t="shared" ca="1" si="39"/>
        <v>472449</v>
      </c>
      <c r="O53" s="120">
        <f t="shared" ref="O53:O55" ca="1" si="40">IF(L53&gt;0,N53*100/L53,0)</f>
        <v>97.012114989733064</v>
      </c>
      <c r="P53" s="120">
        <f t="shared" ref="P53:P55" ca="1" si="41">IF(M53&gt;0,N53*100/M53,0)</f>
        <v>91.830748836684947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487000</v>
      </c>
      <c r="M55" s="121">
        <f t="shared" ca="1" si="43"/>
        <v>514478</v>
      </c>
      <c r="N55" s="121">
        <f t="shared" ca="1" si="43"/>
        <v>472449</v>
      </c>
      <c r="O55" s="120">
        <f t="shared" ca="1" si="40"/>
        <v>97.012114989733064</v>
      </c>
      <c r="P55" s="120">
        <f t="shared" ca="1" si="41"/>
        <v>91.830748836684947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487000</v>
      </c>
      <c r="M57" s="49">
        <f ca="1">IFERROR(__xludf.DUMMYFUNCTION("IMPORTRANGE(""https://docs.google.com/spreadsheets/d/1Yj_ptqi66GCucihVvJfMjLAmec39IyEx_6qawtMGysU/edit?usp=sharing"",""สบก!Z59"")"),514478)</f>
        <v>514478</v>
      </c>
      <c r="N57" s="49">
        <f ca="1">IFERROR(__xludf.DUMMYFUNCTION("IMPORTRANGE(""https://docs.google.com/spreadsheets/d/1Yj_ptqi66GCucihVvJfMjLAmec39IyEx_6qawtMGysU/edit?usp=sharing"",""สบก!AA59"")"),472449)</f>
        <v>472449</v>
      </c>
      <c r="O57" s="38">
        <f ca="1">IF(L57&gt;0,N57*100/L57,0)</f>
        <v>97.012114989733064</v>
      </c>
      <c r="P57" s="38">
        <f ca="1">IF(M57&gt;0,N57*100/M57,0)</f>
        <v>91.830748836684947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IFERROR(__xludf.DUMMYFUNCTION("IMPORTRANGE(""https://docs.google.com/spreadsheets/d/1Yj_ptqi66GCucihVvJfMjLAmec39IyEx_6qawtMGysU/edit?usp=sharing"",""สบก!V59"")"),487000)</f>
        <v>487000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IFERROR(__xludf.DUMMYFUNCTION("IMPORTRANGE(""https://docs.google.com/spreadsheets/d/1Yj_ptqi66GCucihVvJfMjLAmec39IyEx_6qawtMGysU/edit?usp=sharing"",""สบก!X59"")"),0)</f>
        <v>0</v>
      </c>
      <c r="M61" s="49"/>
      <c r="N61" s="49">
        <f ca="1">IFERROR(__xludf.DUMMYFUNCTION("IMPORTRANGE(""https://docs.google.com/spreadsheets/d/1Yj_ptqi66GCucihVvJfMjLAmec39IyEx_6qawtMGysU/edit?usp=sharing"",""สบก!AB59"")"),0)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IFERROR(__xludf.DUMMYFUNCTION("IMPORTRANGE(""https://docs.google.com/spreadsheets/d/1SX6NBoVAgQJ6U1MVXOaj8PK2l7WJ3RER9xtqwdhxkhw/edit?usp=sharing"",""กาญจนบุรี!I9"")"),0)</f>
        <v>0</v>
      </c>
      <c r="J64" s="142">
        <f ca="1">IFERROR(__xludf.DUMMYFUNCTION("IMPORTRANGE(""https://docs.google.com/spreadsheets/d/1SX6NBoVAgQJ6U1MVXOaj8PK2l7WJ3RER9xtqwdhxkhw/edit?usp=sharing"",""กาญจนบุรี!J9"")"),0)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IFERROR(__xludf.DUMMYFUNCTION("IMPORTRANGE(""https://docs.google.com/spreadsheets/d/1SX6NBoVAgQJ6U1MVXOaj8PK2l7WJ3RER9xtqwdhxkhw/edit?usp=sharing"",""กาญจนบุรี!I10"")"),0)</f>
        <v>0</v>
      </c>
      <c r="J65" s="142">
        <f ca="1">IFERROR(__xludf.DUMMYFUNCTION("IMPORTRANGE(""https://docs.google.com/spreadsheets/d/1SX6NBoVAgQJ6U1MVXOaj8PK2l7WJ3RER9xtqwdhxkhw/edit?usp=sharing"",""กาญจนบุรี!J10"")"),0)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IFERROR(__xludf.DUMMYFUNCTION("IMPORTRANGE(""https://docs.google.com/spreadsheets/d/1Yj_ptqi66GCucihVvJfMjLAmec39IyEx_6qawtMGysU/edit?usp=sharing"",""สบก!AI59"")"),0)</f>
        <v>0</v>
      </c>
      <c r="N70" s="169">
        <f ca="1">IFERROR(__xludf.DUMMYFUNCTION("IMPORTRANGE(""https://docs.google.com/spreadsheets/d/1Yj_ptqi66GCucihVvJfMjLAmec39IyEx_6qawtMGysU/edit?usp=sharing"",""สบก!AJ59"")"),0)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IFERROR(__xludf.DUMMYFUNCTION("IMPORTRANGE(""https://docs.google.com/spreadsheets/d/1Yj_ptqi66GCucihVvJfMjLAmec39IyEx_6qawtMGysU/edit?usp=sharing"",""สบก!AG59"")"),0)</f>
        <v>0</v>
      </c>
      <c r="M74" s="49"/>
      <c r="N74" s="49">
        <f ca="1">IFERROR(__xludf.DUMMYFUNCTION("IMPORTRANGE(""https://docs.google.com/spreadsheets/d/1Yj_ptqi66GCucihVvJfMjLAmec39IyEx_6qawtMGysU/edit?usp=sharing"",""สบก!AK59"")"),0)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IFERROR(__xludf.DUMMYFUNCTION("IMPORTRANGE(""https://docs.google.com/spreadsheets/d/1SX6NBoVAgQJ6U1MVXOaj8PK2l7WJ3RER9xtqwdhxkhw/edit?usp=sharing"",""กาญจนบุรี!J16"")"),0)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IFERROR(__xludf.DUMMYFUNCTION("IMPORTRANGE(""https://docs.google.com/spreadsheets/d/1SX6NBoVAgQJ6U1MVXOaj8PK2l7WJ3RER9xtqwdhxkhw/edit?usp=sharing"",""กาญจนบุรี!J17"")"),0)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IFERROR(__xludf.DUMMYFUNCTION("IMPORTRANGE(""https://docs.google.com/spreadsheets/d/1SX6NBoVAgQJ6U1MVXOaj8PK2l7WJ3RER9xtqwdhxkhw/edit?usp=sharing"",""กาญจนบุรี!J18"")"),0)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IFERROR(__xludf.DUMMYFUNCTION("IMPORTRANGE(""https://docs.google.com/spreadsheets/d/1SX6NBoVAgQJ6U1MVXOaj8PK2l7WJ3RER9xtqwdhxkhw/edit?usp=sharing"",""กาญจนบุรี!J19"")"),0)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IFERROR(__xludf.DUMMYFUNCTION("IMPORTRANGE(""https://docs.google.com/spreadsheets/d/1SX6NBoVAgQJ6U1MVXOaj8PK2l7WJ3RER9xtqwdhxkhw/edit?usp=sharing"",""กาญจนบุรี!I20"")"),0)</f>
        <v>0</v>
      </c>
      <c r="J80" s="201">
        <f ca="1">IFERROR(__xludf.DUMMYFUNCTION("IMPORTRANGE(""https://docs.google.com/spreadsheets/d/1SX6NBoVAgQJ6U1MVXOaj8PK2l7WJ3RER9xtqwdhxkhw/edit?usp=sharing"",""กาญจนบุรี!J20"")"),0)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IFERROR(__xludf.DUMMYFUNCTION("IMPORTRANGE(""https://docs.google.com/spreadsheets/d/1SX6NBoVAgQJ6U1MVXOaj8PK2l7WJ3RER9xtqwdhxkhw/edit?usp=sharing"",""กาญจนบุรี!I21"")"),0)</f>
        <v>0</v>
      </c>
      <c r="J81" s="201">
        <f ca="1">IFERROR(__xludf.DUMMYFUNCTION("IMPORTRANGE(""https://docs.google.com/spreadsheets/d/1SX6NBoVAgQJ6U1MVXOaj8PK2l7WJ3RER9xtqwdhxkhw/edit?usp=sharing"",""กาญจนบุรี!J21"")"),0)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IFERROR(__xludf.DUMMYFUNCTION("IMPORTRANGE(""https://docs.google.com/spreadsheets/d/1SX6NBoVAgQJ6U1MVXOaj8PK2l7WJ3RER9xtqwdhxkhw/edit?usp=sharing"",""กาญจนบุรี!I22"")"),0)</f>
        <v>0</v>
      </c>
      <c r="J82" s="204">
        <f ca="1">IFERROR(__xludf.DUMMYFUNCTION("IMPORTRANGE(""https://docs.google.com/spreadsheets/d/1SX6NBoVAgQJ6U1MVXOaj8PK2l7WJ3RER9xtqwdhxkhw/edit?usp=sharing"",""กาญจนบุรี!J22"")"),0)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IFERROR(__xludf.DUMMYFUNCTION("IMPORTRANGE(""https://docs.google.com/spreadsheets/d/1SX6NBoVAgQJ6U1MVXOaj8PK2l7WJ3RER9xtqwdhxkhw/edit?usp=sharing"",""กาญจนบุรี!I23"")"),0)</f>
        <v>0</v>
      </c>
      <c r="J83" s="204">
        <f ca="1">IFERROR(__xludf.DUMMYFUNCTION("IMPORTRANGE(""https://docs.google.com/spreadsheets/d/1SX6NBoVAgQJ6U1MVXOaj8PK2l7WJ3RER9xtqwdhxkhw/edit?usp=sharing"",""กาญจนบุรี!J23"")"),0)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IFERROR(__xludf.DUMMYFUNCTION("IMPORTRANGE(""https://docs.google.com/spreadsheets/d/1SX6NBoVAgQJ6U1MVXOaj8PK2l7WJ3RER9xtqwdhxkhw/edit?usp=sharing"",""กาญจนบุรี!I24"")"),0)</f>
        <v>0</v>
      </c>
      <c r="J84" s="189">
        <f ca="1">IFERROR(__xludf.DUMMYFUNCTION("IMPORTRANGE(""https://docs.google.com/spreadsheets/d/1SX6NBoVAgQJ6U1MVXOaj8PK2l7WJ3RER9xtqwdhxkhw/edit?usp=sharing"",""กาญจนบุรี!J24"")"),0)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IFERROR(__xludf.DUMMYFUNCTION("IMPORTRANGE(""https://docs.google.com/spreadsheets/d/1SX6NBoVAgQJ6U1MVXOaj8PK2l7WJ3RER9xtqwdhxkhw/edit?usp=sharing"",""กาญจนบุรี!I25"")"),0)</f>
        <v>0</v>
      </c>
      <c r="J85" s="189">
        <f ca="1">IFERROR(__xludf.DUMMYFUNCTION("IMPORTRANGE(""https://docs.google.com/spreadsheets/d/1SX6NBoVAgQJ6U1MVXOaj8PK2l7WJ3RER9xtqwdhxkhw/edit?usp=sharing"",""กาญจนบุรี!J25"")"),0)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IFERROR(__xludf.DUMMYFUNCTION("IMPORTRANGE(""https://docs.google.com/spreadsheets/d/1SX6NBoVAgQJ6U1MVXOaj8PK2l7WJ3RER9xtqwdhxkhw/edit?usp=sharing"",""กาญจนบุรี!I26"")"),0)</f>
        <v>0</v>
      </c>
      <c r="J86" s="204">
        <f ca="1">IFERROR(__xludf.DUMMYFUNCTION("IMPORTRANGE(""https://docs.google.com/spreadsheets/d/1SX6NBoVAgQJ6U1MVXOaj8PK2l7WJ3RER9xtqwdhxkhw/edit?usp=sharing"",""กาญจนบุรี!J26"")"),0)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IFERROR(__xludf.DUMMYFUNCTION("IMPORTRANGE(""https://docs.google.com/spreadsheets/d/1SX6NBoVAgQJ6U1MVXOaj8PK2l7WJ3RER9xtqwdhxkhw/edit?usp=sharing"",""กาญจนบุรี!I27"")"),0)</f>
        <v>0</v>
      </c>
      <c r="J87" s="204">
        <f ca="1">IFERROR(__xludf.DUMMYFUNCTION("IMPORTRANGE(""https://docs.google.com/spreadsheets/d/1SX6NBoVAgQJ6U1MVXOaj8PK2l7WJ3RER9xtqwdhxkhw/edit?usp=sharing"",""กาญจนบุรี!J27"")"),0)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IFERROR(__xludf.DUMMYFUNCTION("IMPORTRANGE(""https://docs.google.com/spreadsheets/d/1SX6NBoVAgQJ6U1MVXOaj8PK2l7WJ3RER9xtqwdhxkhw/edit?usp=sharing"",""กาญจนบุรี!I28"")"),0)</f>
        <v>0</v>
      </c>
      <c r="J88" s="204">
        <f ca="1">IFERROR(__xludf.DUMMYFUNCTION("IMPORTRANGE(""https://docs.google.com/spreadsheets/d/1SX6NBoVAgQJ6U1MVXOaj8PK2l7WJ3RER9xtqwdhxkhw/edit?usp=sharing"",""กาญจนบุรี!J28"")"),0)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IFERROR(__xludf.DUMMYFUNCTION("IMPORTRANGE(""https://docs.google.com/spreadsheets/d/1SX6NBoVAgQJ6U1MVXOaj8PK2l7WJ3RER9xtqwdhxkhw/edit?usp=sharing"",""กาญจนบุรี!J29"")"),0)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IFERROR(__xludf.DUMMYFUNCTION("IMPORTRANGE(""https://docs.google.com/spreadsheets/d/1SX6NBoVAgQJ6U1MVXOaj8PK2l7WJ3RER9xtqwdhxkhw/edit?usp=sharing"",""กาญจนบุรี!J30"")"),0)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IFERROR(__xludf.DUMMYFUNCTION("IMPORTRANGE(""https://docs.google.com/spreadsheets/d/1SX6NBoVAgQJ6U1MVXOaj8PK2l7WJ3RER9xtqwdhxkhw/edit?usp=sharing"",""กาญจนบุรี!I32"")"),7)</f>
        <v>7</v>
      </c>
      <c r="J92" s="142">
        <f ca="1">IFERROR(__xludf.DUMMYFUNCTION("IMPORTRANGE(""https://docs.google.com/spreadsheets/d/1SX6NBoVAgQJ6U1MVXOaj8PK2l7WJ3RER9xtqwdhxkhw/edit?usp=sharing"",""กาญจนบุรี!J32"")"),7)</f>
        <v>7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IFERROR(__xludf.DUMMYFUNCTION("IMPORTRANGE(""https://docs.google.com/spreadsheets/d/1SX6NBoVAgQJ6U1MVXOaj8PK2l7WJ3RER9xtqwdhxkhw/edit?usp=sharing"",""กาญจนบุรี!I33"")"),2)</f>
        <v>2</v>
      </c>
      <c r="J93" s="142">
        <f ca="1">IFERROR(__xludf.DUMMYFUNCTION("IMPORTRANGE(""https://docs.google.com/spreadsheets/d/1SX6NBoVAgQJ6U1MVXOaj8PK2l7WJ3RER9xtqwdhxkhw/edit?usp=sharing"",""กาญจนบุรี!J33"")"),2)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209542</v>
      </c>
      <c r="O94" s="151">
        <f t="shared" ref="O94:O96" ca="1" si="53">IF(L94&gt;0,N94*100/L94,0)</f>
        <v>65.695385001254081</v>
      </c>
      <c r="P94" s="151">
        <f t="shared" ref="P94:P96" ca="1" si="54">IF(M94&gt;0,N94*100/M94,0)</f>
        <v>65.695385001254081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318960</v>
      </c>
      <c r="M96" s="157">
        <f t="shared" ca="1" si="56"/>
        <v>318960</v>
      </c>
      <c r="N96" s="157">
        <f t="shared" ca="1" si="56"/>
        <v>209542</v>
      </c>
      <c r="O96" s="156">
        <f t="shared" ca="1" si="53"/>
        <v>65.695385001254081</v>
      </c>
      <c r="P96" s="156">
        <f t="shared" ca="1" si="54"/>
        <v>65.695385001254081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134160</v>
      </c>
      <c r="M98" s="168">
        <f ca="1">IFERROR(__xludf.DUMMYFUNCTION("IMPORTRANGE(""https://docs.google.com/spreadsheets/d/1Yj_ptqi66GCucihVvJfMjLAmec39IyEx_6qawtMGysU/edit?usp=sharing"",""สบก!AR59"")"),134160)</f>
        <v>134160</v>
      </c>
      <c r="N98" s="169">
        <f ca="1">IFERROR(__xludf.DUMMYFUNCTION("IMPORTRANGE(""https://docs.google.com/spreadsheets/d/1Yj_ptqi66GCucihVvJfMjLAmec39IyEx_6qawtMGysU/edit?usp=sharing"",""สบก!AS59"")"),24742)</f>
        <v>24742</v>
      </c>
      <c r="O98" s="169">
        <f ca="1">IF(L98&gt;0,N98*100/L98,0)</f>
        <v>18.44215861657722</v>
      </c>
      <c r="P98" s="169">
        <f ca="1">IF(M98&gt;0,N98*100/M98,0)</f>
        <v>18.44215861657722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IFERROR(__xludf.DUMMYFUNCTION("IMPORTRANGE(""https://docs.google.com/spreadsheets/d/1Yj_ptqi66GCucihVvJfMjLAmec39IyEx_6qawtMGysU/edit?usp=sharing"",""สบก!AO59"")"),134160)</f>
        <v>134160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IFERROR(__xludf.DUMMYFUNCTION("IMPORTRANGE(""https://docs.google.com/spreadsheets/d/1Yj_ptqi66GCucihVvJfMjLAmec39IyEx_6qawtMGysU/edit?usp=sharing"",""สบก!AP59"")"),184800)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IFERROR(__xludf.DUMMYFUNCTION("IMPORTRANGE(""https://docs.google.com/spreadsheets/d/1Yj_ptqi66GCucihVvJfMjLAmec39IyEx_6qawtMGysU/edit?usp=sharing"",""สบก!AT59"")"),184800)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IFERROR(__xludf.DUMMYFUNCTION("IMPORTRANGE(""https://docs.google.com/spreadsheets/d/1SX6NBoVAgQJ6U1MVXOaj8PK2l7WJ3RER9xtqwdhxkhw/edit?usp=sharing"",""กาญจนบุรี!J39"")"),0)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IFERROR(__xludf.DUMMYFUNCTION("IMPORTRANGE(""https://docs.google.com/spreadsheets/d/1SX6NBoVAgQJ6U1MVXOaj8PK2l7WJ3RER9xtqwdhxkhw/edit?usp=sharing"",""กาญจนบุรี!J40"")"),1)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IFERROR(__xludf.DUMMYFUNCTION("IMPORTRANGE(""https://docs.google.com/spreadsheets/d/1SX6NBoVAgQJ6U1MVXOaj8PK2l7WJ3RER9xtqwdhxkhw/edit?usp=sharing"",""กาญจนบุรี!J41"")"),1)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IFERROR(__xludf.DUMMYFUNCTION("IMPORTRANGE(""https://docs.google.com/spreadsheets/d/1SX6NBoVAgQJ6U1MVXOaj8PK2l7WJ3RER9xtqwdhxkhw/edit?usp=sharing"",""กาญจนบุรี!J42"")"),1)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IFERROR(__xludf.DUMMYFUNCTION("IMPORTRANGE(""https://docs.google.com/spreadsheets/d/1SX6NBoVAgQJ6U1MVXOaj8PK2l7WJ3RER9xtqwdhxkhw/edit?usp=sharing"",""กาญจนบุรี!I43"")"),1)</f>
        <v>1</v>
      </c>
      <c r="J108" s="204">
        <f ca="1">IFERROR(__xludf.DUMMYFUNCTION("IMPORTRANGE(""https://docs.google.com/spreadsheets/d/1SX6NBoVAgQJ6U1MVXOaj8PK2l7WJ3RER9xtqwdhxkhw/edit?usp=sharing"",""กาญจนบุรี!J43"")"),1)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IFERROR(__xludf.DUMMYFUNCTION("IMPORTRANGE(""https://docs.google.com/spreadsheets/d/1SX6NBoVAgQJ6U1MVXOaj8PK2l7WJ3RER9xtqwdhxkhw/edit?usp=sharing"",""กาญจนบุรี!I44"")"),7)</f>
        <v>7</v>
      </c>
      <c r="J109" s="204">
        <f ca="1">IFERROR(__xludf.DUMMYFUNCTION("IMPORTRANGE(""https://docs.google.com/spreadsheets/d/1SX6NBoVAgQJ6U1MVXOaj8PK2l7WJ3RER9xtqwdhxkhw/edit?usp=sharing"",""กาญจนบุรี!J44"")"),7)</f>
        <v>7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IFERROR(__xludf.DUMMYFUNCTION("IMPORTRANGE(""https://docs.google.com/spreadsheets/d/1SX6NBoVAgQJ6U1MVXOaj8PK2l7WJ3RER9xtqwdhxkhw/edit?usp=sharing"",""กาญจนบุรี!I45"")"),7)</f>
        <v>7</v>
      </c>
      <c r="J110" s="204">
        <f ca="1">IFERROR(__xludf.DUMMYFUNCTION("IMPORTRANGE(""https://docs.google.com/spreadsheets/d/1SX6NBoVAgQJ6U1MVXOaj8PK2l7WJ3RER9xtqwdhxkhw/edit?usp=sharing"",""กาญจนบุรี!J45"")"),7)</f>
        <v>7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IFERROR(__xludf.DUMMYFUNCTION("IMPORTRANGE(""https://docs.google.com/spreadsheets/d/1SX6NBoVAgQJ6U1MVXOaj8PK2l7WJ3RER9xtqwdhxkhw/edit?usp=sharing"",""กาญจนบุรี!I46"")"),7)</f>
        <v>7</v>
      </c>
      <c r="J111" s="204">
        <f ca="1">IFERROR(__xludf.DUMMYFUNCTION("IMPORTRANGE(""https://docs.google.com/spreadsheets/d/1SX6NBoVAgQJ6U1MVXOaj8PK2l7WJ3RER9xtqwdhxkhw/edit?usp=sharing"",""กาญจนบุรี!J46"")"),7)</f>
        <v>7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IFERROR(__xludf.DUMMYFUNCTION("IMPORTRANGE(""https://docs.google.com/spreadsheets/d/1SX6NBoVAgQJ6U1MVXOaj8PK2l7WJ3RER9xtqwdhxkhw/edit?usp=sharing"",""กาญจนบุรี!I47"")"),7)</f>
        <v>7</v>
      </c>
      <c r="J112" s="204">
        <f ca="1">IFERROR(__xludf.DUMMYFUNCTION("IMPORTRANGE(""https://docs.google.com/spreadsheets/d/1SX6NBoVAgQJ6U1MVXOaj8PK2l7WJ3RER9xtqwdhxkhw/edit?usp=sharing"",""กาญจนบุรี!J47"")"),7)</f>
        <v>7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IFERROR(__xludf.DUMMYFUNCTION("IMPORTRANGE(""https://docs.google.com/spreadsheets/d/1SX6NBoVAgQJ6U1MVXOaj8PK2l7WJ3RER9xtqwdhxkhw/edit?usp=sharing"",""กาญจนบุรี!I48"")"),2)</f>
        <v>2</v>
      </c>
      <c r="J113" s="204">
        <f ca="1">IFERROR(__xludf.DUMMYFUNCTION("IMPORTRANGE(""https://docs.google.com/spreadsheets/d/1SX6NBoVAgQJ6U1MVXOaj8PK2l7WJ3RER9xtqwdhxkhw/edit?usp=sharing"",""กาญจนบุรี!J48"")"),2)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IFERROR(__xludf.DUMMYFUNCTION("IMPORTRANGE(""https://docs.google.com/spreadsheets/d/1SX6NBoVAgQJ6U1MVXOaj8PK2l7WJ3RER9xtqwdhxkhw/edit?usp=sharing"",""กาญจนบุรี!J49"")"),0)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IFERROR(__xludf.DUMMYFUNCTION("IMPORTRANGE(""https://docs.google.com/spreadsheets/d/1SX6NBoVAgQJ6U1MVXOaj8PK2l7WJ3RER9xtqwdhxkhw/edit?usp=sharing"",""กาญจนบุรี!J50"")"),0)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IFERROR(__xludf.DUMMYFUNCTION("IMPORTRANGE(""https://docs.google.com/spreadsheets/d/1SX6NBoVAgQJ6U1MVXOaj8PK2l7WJ3RER9xtqwdhxkhw/edit?usp=sharing"",""กาญจนบุรี!I52"")"),20)</f>
        <v>20</v>
      </c>
      <c r="J117" s="142">
        <f ca="1">IFERROR(__xludf.DUMMYFUNCTION("IMPORTRANGE(""https://docs.google.com/spreadsheets/d/1SX6NBoVAgQJ6U1MVXOaj8PK2l7WJ3RER9xtqwdhxkhw/edit?usp=sharing"",""กาญจนบุรี!J52"")"),20)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46530</v>
      </c>
      <c r="O118" s="151">
        <f t="shared" ref="O118:O120" ca="1" si="59">IF(L118&gt;0,N118*100/L118,0)</f>
        <v>56.441048034934497</v>
      </c>
      <c r="P118" s="151">
        <f t="shared" ref="P118:P120" ca="1" si="60">IF(M118&gt;0,N118*100/M118,0)</f>
        <v>56.441048034934497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46530</v>
      </c>
      <c r="O120" s="156">
        <f t="shared" ca="1" si="59"/>
        <v>56.441048034934497</v>
      </c>
      <c r="P120" s="156">
        <f t="shared" ca="1" si="60"/>
        <v>56.441048034934497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IFERROR(__xludf.DUMMYFUNCTION("IMPORTRANGE(""https://docs.google.com/spreadsheets/d/1Yj_ptqi66GCucihVvJfMjLAmec39IyEx_6qawtMGysU/edit?usp=sharing"",""สบก!BA59"")"),82440)</f>
        <v>82440</v>
      </c>
      <c r="N122" s="169">
        <f ca="1">IFERROR(__xludf.DUMMYFUNCTION("IMPORTRANGE(""https://docs.google.com/spreadsheets/d/1Yj_ptqi66GCucihVvJfMjLAmec39IyEx_6qawtMGysU/edit?usp=sharing"",""สบก!BB59"")"),46530)</f>
        <v>46530</v>
      </c>
      <c r="O122" s="169">
        <f ca="1">IF(L122&gt;0,N122*100/L122,0)</f>
        <v>56.441048034934497</v>
      </c>
      <c r="P122" s="169">
        <f ca="1">IF(M122&gt;0,N122*100/M122,0)</f>
        <v>56.441048034934497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IFERROR(__xludf.DUMMYFUNCTION("IMPORTRANGE(""https://docs.google.com/spreadsheets/d/1Yj_ptqi66GCucihVvJfMjLAmec39IyEx_6qawtMGysU/edit?usp=sharing"",""สบก!AX59"")"),82440)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IFERROR(__xludf.DUMMYFUNCTION("IMPORTRANGE(""https://docs.google.com/spreadsheets/d/1Yj_ptqi66GCucihVvJfMjLAmec39IyEx_6qawtMGysU/edit?usp=sharing"",""สบก!AY59"")"),0)</f>
        <v>0</v>
      </c>
      <c r="M126" s="49"/>
      <c r="N126" s="49">
        <f ca="1">IFERROR(__xludf.DUMMYFUNCTION("IMPORTRANGE(""https://docs.google.com/spreadsheets/d/1Yj_ptqi66GCucihVvJfMjLAmec39IyEx_6qawtMGysU/edit?usp=sharing"",""สบก!BC59"")"),0)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IFERROR(__xludf.DUMMYFUNCTION("IMPORTRANGE(""https://docs.google.com/spreadsheets/d/1SX6NBoVAgQJ6U1MVXOaj8PK2l7WJ3RER9xtqwdhxkhw/edit?usp=sharing"",""กาญจนบุรี!J58"")"),0)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IFERROR(__xludf.DUMMYFUNCTION("IMPORTRANGE(""https://docs.google.com/spreadsheets/d/1SX6NBoVAgQJ6U1MVXOaj8PK2l7WJ3RER9xtqwdhxkhw/edit?usp=sharing"",""กาญจนบุรี!J59"")"),1)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IFERROR(__xludf.DUMMYFUNCTION("IMPORTRANGE(""https://docs.google.com/spreadsheets/d/1SX6NBoVAgQJ6U1MVXOaj8PK2l7WJ3RER9xtqwdhxkhw/edit?usp=sharing"",""กาญจนบุรี!J60"")"),1)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IFERROR(__xludf.DUMMYFUNCTION("IMPORTRANGE(""https://docs.google.com/spreadsheets/d/1SX6NBoVAgQJ6U1MVXOaj8PK2l7WJ3RER9xtqwdhxkhw/edit?usp=sharing"",""กาญจนบุรี!J61"")"),1)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IFERROR(__xludf.DUMMYFUNCTION("IMPORTRANGE(""https://docs.google.com/spreadsheets/d/1SX6NBoVAgQJ6U1MVXOaj8PK2l7WJ3RER9xtqwdhxkhw/edit?usp=sharing"",""กาญจนบุรี!I62"")"),20)</f>
        <v>20</v>
      </c>
      <c r="J132" s="204">
        <f ca="1">IFERROR(__xludf.DUMMYFUNCTION("IMPORTRANGE(""https://docs.google.com/spreadsheets/d/1SX6NBoVAgQJ6U1MVXOaj8PK2l7WJ3RER9xtqwdhxkhw/edit?usp=sharing"",""กาญจนบุรี!J62"")"),20)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IFERROR(__xludf.DUMMYFUNCTION("IMPORTRANGE(""https://docs.google.com/spreadsheets/d/1SX6NBoVAgQJ6U1MVXOaj8PK2l7WJ3RER9xtqwdhxkhw/edit?usp=sharing"",""กาญจนบุรี!I63"")"),20)</f>
        <v>20</v>
      </c>
      <c r="J133" s="204">
        <f ca="1">IFERROR(__xludf.DUMMYFUNCTION("IMPORTRANGE(""https://docs.google.com/spreadsheets/d/1SX6NBoVAgQJ6U1MVXOaj8PK2l7WJ3RER9xtqwdhxkhw/edit?usp=sharing"",""กาญจนบุรี!J63"")"),20)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IFERROR(__xludf.DUMMYFUNCTION("IMPORTRANGE(""https://docs.google.com/spreadsheets/d/1SX6NBoVAgQJ6U1MVXOaj8PK2l7WJ3RER9xtqwdhxkhw/edit?usp=sharing"",""กาญจนบุรี!J64"")"),0)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IFERROR(__xludf.DUMMYFUNCTION("IMPORTRANGE(""https://docs.google.com/spreadsheets/d/1SX6NBoVAgQJ6U1MVXOaj8PK2l7WJ3RER9xtqwdhxkhw/edit?usp=sharing"",""กาญจนบุรี!J65"")"),0)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IFERROR(__xludf.DUMMYFUNCTION("IMPORTRANGE(""https://docs.google.com/spreadsheets/d/1SX6NBoVAgQJ6U1MVXOaj8PK2l7WJ3RER9xtqwdhxkhw/edit?usp=sharing"",""กาญจนบุรี!I68"")"),30)</f>
        <v>30</v>
      </c>
      <c r="J138" s="268">
        <f ca="1">IFERROR(__xludf.DUMMYFUNCTION("IMPORTRANGE(""https://docs.google.com/spreadsheets/d/1SX6NBoVAgQJ6U1MVXOaj8PK2l7WJ3RER9xtqwdhxkhw/edit?usp=sharing"",""กาญจนบุรี!J68"")"),30)</f>
        <v>30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647600</v>
      </c>
      <c r="M140" s="152">
        <f t="shared" ca="1" si="64"/>
        <v>650800</v>
      </c>
      <c r="N140" s="152">
        <f t="shared" ca="1" si="64"/>
        <v>528919.82999999996</v>
      </c>
      <c r="O140" s="151">
        <f t="shared" ref="O140:O142" ca="1" si="65">IF(L140&gt;0,N140*100/L140,0)</f>
        <v>81.673846510191467</v>
      </c>
      <c r="P140" s="151">
        <f t="shared" ref="P140:P142" ca="1" si="66">IF(M140&gt;0,N140*100/M140,0)</f>
        <v>81.272254148740004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647600</v>
      </c>
      <c r="M142" s="157">
        <f t="shared" ca="1" si="68"/>
        <v>650800</v>
      </c>
      <c r="N142" s="157">
        <f t="shared" ca="1" si="68"/>
        <v>528919.82999999996</v>
      </c>
      <c r="O142" s="156">
        <f t="shared" ca="1" si="65"/>
        <v>81.673846510191467</v>
      </c>
      <c r="P142" s="156">
        <f t="shared" ca="1" si="66"/>
        <v>81.272254148740004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647600</v>
      </c>
      <c r="M144" s="168">
        <f ca="1">IFERROR(__xludf.DUMMYFUNCTION("IMPORTRANGE(""https://docs.google.com/spreadsheets/d/1Yj_ptqi66GCucihVvJfMjLAmec39IyEx_6qawtMGysU/edit?usp=sharing"",""สบก!BJ59"")"),650800)</f>
        <v>650800</v>
      </c>
      <c r="N144" s="169">
        <f ca="1">IFERROR(__xludf.DUMMYFUNCTION("IMPORTRANGE(""https://docs.google.com/spreadsheets/d/1Yj_ptqi66GCucihVvJfMjLAmec39IyEx_6qawtMGysU/edit?usp=sharing"",""สบก!BK59"")"),528919.83)</f>
        <v>528919.82999999996</v>
      </c>
      <c r="O144" s="169">
        <f ca="1">IF(L144&gt;0,N144*100/L144,0)</f>
        <v>81.673846510191467</v>
      </c>
      <c r="P144" s="169">
        <f ca="1">IF(M144&gt;0,N144*100/M144,0)</f>
        <v>81.272254148740004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IFERROR(__xludf.DUMMYFUNCTION("IMPORTRANGE(""https://docs.google.com/spreadsheets/d/1Yj_ptqi66GCucihVvJfMjLAmec39IyEx_6qawtMGysU/edit?usp=sharing"",""สบก!BF59"")"),364700)</f>
        <v>364700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IFERROR(__xludf.DUMMYFUNCTION("IMPORTRANGE(""https://docs.google.com/spreadsheets/d/1Yj_ptqi66GCucihVvJfMjLAmec39IyEx_6qawtMGysU/edit?usp=sharing"",""สบก!BG59"")"),282900)</f>
        <v>282900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IFERROR(__xludf.DUMMYFUNCTION("IMPORTRANGE(""https://docs.google.com/spreadsheets/d/1Yj_ptqi66GCucihVvJfMjLAmec39IyEx_6qawtMGysU/edit?usp=sharing"",""สบก!BH59"")"),0)</f>
        <v>0</v>
      </c>
      <c r="M148" s="49"/>
      <c r="N148" s="49">
        <f ca="1">IFERROR(__xludf.DUMMYFUNCTION("IMPORTRANGE(""https://docs.google.com/spreadsheets/d/1Yj_ptqi66GCucihVvJfMjLAmec39IyEx_6qawtMGysU/edit?usp=sharing"",""สบก!BL59"")"),0)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IFERROR(__xludf.DUMMYFUNCTION("IMPORTRANGE(""https://docs.google.com/spreadsheets/d/1SX6NBoVAgQJ6U1MVXOaj8PK2l7WJ3RER9xtqwdhxkhw/edit?usp=sharing"",""กาญจนบุรี!I74"")"),4)</f>
        <v>4</v>
      </c>
      <c r="J149" s="276">
        <f ca="1">IFERROR(__xludf.DUMMYFUNCTION("IMPORTRANGE(""https://docs.google.com/spreadsheets/d/1SX6NBoVAgQJ6U1MVXOaj8PK2l7WJ3RER9xtqwdhxkhw/edit?usp=sharing"",""กาญจนบุรี!J74"")"),3)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IFERROR(__xludf.DUMMYFUNCTION("IMPORTRANGE(""https://docs.google.com/spreadsheets/d/1SX6NBoVAgQJ6U1MVXOaj8PK2l7WJ3RER9xtqwdhxkhw/edit?usp=sharing"",""กาญจนบุรี!J79"")"),0)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IFERROR(__xludf.DUMMYFUNCTION("IMPORTRANGE(""https://docs.google.com/spreadsheets/d/1SX6NBoVAgQJ6U1MVXOaj8PK2l7WJ3RER9xtqwdhxkhw/edit?usp=sharing"",""กาญจนบุรี!J80"")"),1)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IFERROR(__xludf.DUMMYFUNCTION("IMPORTRANGE(""https://docs.google.com/spreadsheets/d/1SX6NBoVAgQJ6U1MVXOaj8PK2l7WJ3RER9xtqwdhxkhw/edit?usp=sharing"",""กาญจนบุรี!J81"")"),1)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IFERROR(__xludf.DUMMYFUNCTION("IMPORTRANGE(""https://docs.google.com/spreadsheets/d/1SX6NBoVAgQJ6U1MVXOaj8PK2l7WJ3RER9xtqwdhxkhw/edit?usp=sharing"",""กาญจนบุรี!J82"")"),1)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IFERROR(__xludf.DUMMYFUNCTION("IMPORTRANGE(""https://docs.google.com/spreadsheets/d/1SX6NBoVAgQJ6U1MVXOaj8PK2l7WJ3RER9xtqwdhxkhw/edit?usp=sharing"",""กาญจนบุรี!I83"")"),4)</f>
        <v>4</v>
      </c>
      <c r="J158" s="189">
        <f ca="1">IFERROR(__xludf.DUMMYFUNCTION("IMPORTRANGE(""https://docs.google.com/spreadsheets/d/1SX6NBoVAgQJ6U1MVXOaj8PK2l7WJ3RER9xtqwdhxkhw/edit?usp=sharing"",""กาญจนบุรี!J83"")"),3)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IFERROR(__xludf.DUMMYFUNCTION("IMPORTRANGE(""https://docs.google.com/spreadsheets/d/1SX6NBoVAgQJ6U1MVXOaj8PK2l7WJ3RER9xtqwdhxkhw/edit?usp=sharing"",""กาญจนบุรี!J84"")"),76)</f>
        <v>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IFERROR(__xludf.DUMMYFUNCTION("IMPORTRANGE(""https://docs.google.com/spreadsheets/d/1SX6NBoVAgQJ6U1MVXOaj8PK2l7WJ3RER9xtqwdhxkhw/edit?usp=sharing"",""กาญจนบุรี!J85"")"),76)</f>
        <v>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IFERROR(__xludf.DUMMYFUNCTION("IMPORTRANGE(""https://docs.google.com/spreadsheets/d/1SX6NBoVAgQJ6U1MVXOaj8PK2l7WJ3RER9xtqwdhxkhw/edit?usp=sharing"",""กาญจนบุรี!J86"")"),0)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IFERROR(__xludf.DUMMYFUNCTION("IMPORTRANGE(""https://docs.google.com/spreadsheets/d/1SX6NBoVAgQJ6U1MVXOaj8PK2l7WJ3RER9xtqwdhxkhw/edit?usp=sharing"",""กาญจนบุรี!J87"")"),0)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IFERROR(__xludf.DUMMYFUNCTION("IMPORTRANGE(""https://docs.google.com/spreadsheets/d/1SX6NBoVAgQJ6U1MVXOaj8PK2l7WJ3RER9xtqwdhxkhw/edit?usp=sharing"",""กาญจนบุรี!J88"")"),0)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IFERROR(__xludf.DUMMYFUNCTION("IMPORTRANGE(""https://docs.google.com/spreadsheets/d/1SX6NBoVAgQJ6U1MVXOaj8PK2l7WJ3RER9xtqwdhxkhw/edit?usp=sharing"",""กาญจนบุรี!I89"")"),4)</f>
        <v>4</v>
      </c>
      <c r="J164" s="285">
        <f ca="1">IFERROR(__xludf.DUMMYFUNCTION("IMPORTRANGE(""https://docs.google.com/spreadsheets/d/1SX6NBoVAgQJ6U1MVXOaj8PK2l7WJ3RER9xtqwdhxkhw/edit?usp=sharing"",""กาญจนบุรี!J89"")"),4)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IFERROR(__xludf.DUMMYFUNCTION("IMPORTRANGE(""https://docs.google.com/spreadsheets/d/1SX6NBoVAgQJ6U1MVXOaj8PK2l7WJ3RER9xtqwdhxkhw/edit?usp=sharing"",""กาญจนบุรี!J94"")"),0)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IFERROR(__xludf.DUMMYFUNCTION("IMPORTRANGE(""https://docs.google.com/spreadsheets/d/1SX6NBoVAgQJ6U1MVXOaj8PK2l7WJ3RER9xtqwdhxkhw/edit?usp=sharing"",""กาญจนบุรี!J95"")"),1)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IFERROR(__xludf.DUMMYFUNCTION("IMPORTRANGE(""https://docs.google.com/spreadsheets/d/1SX6NBoVAgQJ6U1MVXOaj8PK2l7WJ3RER9xtqwdhxkhw/edit?usp=sharing"",""กาญจนบุรี!J96"")"),1)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IFERROR(__xludf.DUMMYFUNCTION("IMPORTRANGE(""https://docs.google.com/spreadsheets/d/1SX6NBoVAgQJ6U1MVXOaj8PK2l7WJ3RER9xtqwdhxkhw/edit?usp=sharing"",""กาญจนบุรี!J97"")"),1)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IFERROR(__xludf.DUMMYFUNCTION("IMPORTRANGE(""https://docs.google.com/spreadsheets/d/1SX6NBoVAgQJ6U1MVXOaj8PK2l7WJ3RER9xtqwdhxkhw/edit?usp=sharing"",""กาญจนบุรี!I98"")"),4)</f>
        <v>4</v>
      </c>
      <c r="J173" s="189">
        <f ca="1">IFERROR(__xludf.DUMMYFUNCTION("IMPORTRANGE(""https://docs.google.com/spreadsheets/d/1SX6NBoVAgQJ6U1MVXOaj8PK2l7WJ3RER9xtqwdhxkhw/edit?usp=sharing"",""กาญจนบุรี!J98"")"),4)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IFERROR(__xludf.DUMMYFUNCTION("IMPORTRANGE(""https://docs.google.com/spreadsheets/d/1SX6NBoVAgQJ6U1MVXOaj8PK2l7WJ3RER9xtqwdhxkhw/edit?usp=sharing"",""กาญจนบุรี!J99"")"),0)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IFERROR(__xludf.DUMMYFUNCTION("IMPORTRANGE(""https://docs.google.com/spreadsheets/d/1SX6NBoVAgQJ6U1MVXOaj8PK2l7WJ3RER9xtqwdhxkhw/edit?usp=sharing"",""กาญจนบุรี!J100"")"),0)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IFERROR(__xludf.DUMMYFUNCTION("IMPORTRANGE(""https://docs.google.com/spreadsheets/d/1SX6NBoVAgQJ6U1MVXOaj8PK2l7WJ3RER9xtqwdhxkhw/edit?usp=sharing"",""กาญจนบุรี!I101"")"),6)</f>
        <v>6</v>
      </c>
      <c r="J176" s="285">
        <f ca="1">IFERROR(__xludf.DUMMYFUNCTION("IMPORTRANGE(""https://docs.google.com/spreadsheets/d/1SX6NBoVAgQJ6U1MVXOaj8PK2l7WJ3RER9xtqwdhxkhw/edit?usp=sharing"",""กาญจนบุรี!J101"")"),6)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IFERROR(__xludf.DUMMYFUNCTION("IMPORTRANGE(""https://docs.google.com/spreadsheets/d/1SX6NBoVAgQJ6U1MVXOaj8PK2l7WJ3RER9xtqwdhxkhw/edit?usp=sharing"",""กาญจนบุรี!J106"")"),0)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IFERROR(__xludf.DUMMYFUNCTION("IMPORTRANGE(""https://docs.google.com/spreadsheets/d/1SX6NBoVAgQJ6U1MVXOaj8PK2l7WJ3RER9xtqwdhxkhw/edit?usp=sharing"",""กาญจนบุรี!J107"")"),1)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IFERROR(__xludf.DUMMYFUNCTION("IMPORTRANGE(""https://docs.google.com/spreadsheets/d/1SX6NBoVAgQJ6U1MVXOaj8PK2l7WJ3RER9xtqwdhxkhw/edit?usp=sharing"",""กาญจนบุรี!J108"")"),1)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IFERROR(__xludf.DUMMYFUNCTION("IMPORTRANGE(""https://docs.google.com/spreadsheets/d/1SX6NBoVAgQJ6U1MVXOaj8PK2l7WJ3RER9xtqwdhxkhw/edit?usp=sharing"",""กาญจนบุรี!J109"")"),1)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IFERROR(__xludf.DUMMYFUNCTION("IMPORTRANGE(""https://docs.google.com/spreadsheets/d/1SX6NBoVAgQJ6U1MVXOaj8PK2l7WJ3RER9xtqwdhxkhw/edit?usp=sharing"",""กาญจนบุรี!I110"")"),6)</f>
        <v>6</v>
      </c>
      <c r="J185" s="204">
        <f ca="1">IFERROR(__xludf.DUMMYFUNCTION("IMPORTRANGE(""https://docs.google.com/spreadsheets/d/1SX6NBoVAgQJ6U1MVXOaj8PK2l7WJ3RER9xtqwdhxkhw/edit?usp=sharing"",""กาญจนบุรี!J110"")"),6)</f>
        <v>6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IFERROR(__xludf.DUMMYFUNCTION("IMPORTRANGE(""https://docs.google.com/spreadsheets/d/1SX6NBoVAgQJ6U1MVXOaj8PK2l7WJ3RER9xtqwdhxkhw/edit?usp=sharing"",""กาญจนบุรี!I111"")"),6)</f>
        <v>6</v>
      </c>
      <c r="J186" s="204">
        <f ca="1">IFERROR(__xludf.DUMMYFUNCTION("IMPORTRANGE(""https://docs.google.com/spreadsheets/d/1SX6NBoVAgQJ6U1MVXOaj8PK2l7WJ3RER9xtqwdhxkhw/edit?usp=sharing"",""กาญจนบุรี!J111"")"),6)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IFERROR(__xludf.DUMMYFUNCTION("IMPORTRANGE(""https://docs.google.com/spreadsheets/d/1SX6NBoVAgQJ6U1MVXOaj8PK2l7WJ3RER9xtqwdhxkhw/edit?usp=sharing"",""กาญจนบุรี!J112"")"),0)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IFERROR(__xludf.DUMMYFUNCTION("IMPORTRANGE(""https://docs.google.com/spreadsheets/d/1SX6NBoVAgQJ6U1MVXOaj8PK2l7WJ3RER9xtqwdhxkhw/edit?usp=sharing"",""กาญจนบุรี!J113"")"),0)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IFERROR(__xludf.DUMMYFUNCTION("IMPORTRANGE(""https://docs.google.com/spreadsheets/d/1SX6NBoVAgQJ6U1MVXOaj8PK2l7WJ3RER9xtqwdhxkhw/edit?usp=sharing"",""กาญจนบุรี!I114"")"),20000)</f>
        <v>20000</v>
      </c>
      <c r="J189" s="285">
        <f ca="1">IFERROR(__xludf.DUMMYFUNCTION("IMPORTRANGE(""https://docs.google.com/spreadsheets/d/1SX6NBoVAgQJ6U1MVXOaj8PK2l7WJ3RER9xtqwdhxkhw/edit?usp=sharing"",""กาญจนบุรี!J114"")"),20000)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IFERROR(__xludf.DUMMYFUNCTION("IMPORTRANGE(""https://docs.google.com/spreadsheets/d/1SX6NBoVAgQJ6U1MVXOaj8PK2l7WJ3RER9xtqwdhxkhw/edit?usp=sharing"",""กาญจนบุรี!J119"")"),0)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IFERROR(__xludf.DUMMYFUNCTION("IMPORTRANGE(""https://docs.google.com/spreadsheets/d/1SX6NBoVAgQJ6U1MVXOaj8PK2l7WJ3RER9xtqwdhxkhw/edit?usp=sharing"",""กาญจนบุรี!J120"")"),1)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IFERROR(__xludf.DUMMYFUNCTION("IMPORTRANGE(""https://docs.google.com/spreadsheets/d/1SX6NBoVAgQJ6U1MVXOaj8PK2l7WJ3RER9xtqwdhxkhw/edit?usp=sharing"",""กาญจนบุรี!J121"")"),1)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IFERROR(__xludf.DUMMYFUNCTION("IMPORTRANGE(""https://docs.google.com/spreadsheets/d/1SX6NBoVAgQJ6U1MVXOaj8PK2l7WJ3RER9xtqwdhxkhw/edit?usp=sharing"",""กาญจนบุรี!J122"")"),1)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IFERROR(__xludf.DUMMYFUNCTION("IMPORTRANGE(""https://docs.google.com/spreadsheets/d/1SX6NBoVAgQJ6U1MVXOaj8PK2l7WJ3RER9xtqwdhxkhw/edit?usp=sharing"",""กาญจนบุรี!I124"")"),20000)</f>
        <v>20000</v>
      </c>
      <c r="J199" s="189">
        <f ca="1">IFERROR(__xludf.DUMMYFUNCTION("IMPORTRANGE(""https://docs.google.com/spreadsheets/d/1SX6NBoVAgQJ6U1MVXOaj8PK2l7WJ3RER9xtqwdhxkhw/edit?usp=sharing"",""กาญจนบุรี!J124"")"),20000)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IFERROR(__xludf.DUMMYFUNCTION("IMPORTRANGE(""https://docs.google.com/spreadsheets/d/1SX6NBoVAgQJ6U1MVXOaj8PK2l7WJ3RER9xtqwdhxkhw/edit?usp=sharing"",""กาญจนบุรี!I125"")"),20000)</f>
        <v>20000</v>
      </c>
      <c r="J200" s="189">
        <f ca="1">IFERROR(__xludf.DUMMYFUNCTION("IMPORTRANGE(""https://docs.google.com/spreadsheets/d/1SX6NBoVAgQJ6U1MVXOaj8PK2l7WJ3RER9xtqwdhxkhw/edit?usp=sharing"",""กาญจนบุรี!J125"")"),20000)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IFERROR(__xludf.DUMMYFUNCTION("IMPORTRANGE(""https://docs.google.com/spreadsheets/d/1SX6NBoVAgQJ6U1MVXOaj8PK2l7WJ3RER9xtqwdhxkhw/edit?usp=sharing"",""กาญจนบุรี!I126"")"),0)</f>
        <v>0</v>
      </c>
      <c r="J201" s="189">
        <f ca="1">IFERROR(__xludf.DUMMYFUNCTION("IMPORTRANGE(""https://docs.google.com/spreadsheets/d/1SX6NBoVAgQJ6U1MVXOaj8PK2l7WJ3RER9xtqwdhxkhw/edit?usp=sharing"",""กาญจนบุรี!J126"")"),0)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IFERROR(__xludf.DUMMYFUNCTION("IMPORTRANGE(""https://docs.google.com/spreadsheets/d/1SX6NBoVAgQJ6U1MVXOaj8PK2l7WJ3RER9xtqwdhxkhw/edit?usp=sharing"",""กาญจนบุรี!J127"")"),0)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IFERROR(__xludf.DUMMYFUNCTION("IMPORTRANGE(""https://docs.google.com/spreadsheets/d/1SX6NBoVAgQJ6U1MVXOaj8PK2l7WJ3RER9xtqwdhxkhw/edit?usp=sharing"",""กาญจนบุรี!J128"")"),0)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IFERROR(__xludf.DUMMYFUNCTION("IMPORTRANGE(""https://docs.google.com/spreadsheets/d/1SX6NBoVAgQJ6U1MVXOaj8PK2l7WJ3RER9xtqwdhxkhw/edit?usp=sharing"",""กาญจนบุรี!I129"")"),30)</f>
        <v>30</v>
      </c>
      <c r="J204" s="285">
        <f ca="1">IFERROR(__xludf.DUMMYFUNCTION("IMPORTRANGE(""https://docs.google.com/spreadsheets/d/1SX6NBoVAgQJ6U1MVXOaj8PK2l7WJ3RER9xtqwdhxkhw/edit?usp=sharing"",""กาญจนบุรี!J129"")"),30)</f>
        <v>30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IFERROR(__xludf.DUMMYFUNCTION("IMPORTRANGE(""https://docs.google.com/spreadsheets/d/1SX6NBoVAgQJ6U1MVXOaj8PK2l7WJ3RER9xtqwdhxkhw/edit?usp=sharing"",""กาญจนบุรี!J134"")"),0)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IFERROR(__xludf.DUMMYFUNCTION("IMPORTRANGE(""https://docs.google.com/spreadsheets/d/1SX6NBoVAgQJ6U1MVXOaj8PK2l7WJ3RER9xtqwdhxkhw/edit?usp=sharing"",""กาญจนบุรี!J135"")"),1)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IFERROR(__xludf.DUMMYFUNCTION("IMPORTRANGE(""https://docs.google.com/spreadsheets/d/1SX6NBoVAgQJ6U1MVXOaj8PK2l7WJ3RER9xtqwdhxkhw/edit?usp=sharing"",""กาญจนบุรี!J136"")"),1)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IFERROR(__xludf.DUMMYFUNCTION("IMPORTRANGE(""https://docs.google.com/spreadsheets/d/1SX6NBoVAgQJ6U1MVXOaj8PK2l7WJ3RER9xtqwdhxkhw/edit?usp=sharing"",""กาญจนบุรี!J137"")"),1)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IFERROR(__xludf.DUMMYFUNCTION("IMPORTRANGE(""https://docs.google.com/spreadsheets/d/1SX6NBoVAgQJ6U1MVXOaj8PK2l7WJ3RER9xtqwdhxkhw/edit?usp=sharing"",""กาญจนบุรี!I138"")"),30)</f>
        <v>30</v>
      </c>
      <c r="J213" s="204">
        <f ca="1">IFERROR(__xludf.DUMMYFUNCTION("IMPORTRANGE(""https://docs.google.com/spreadsheets/d/1SX6NBoVAgQJ6U1MVXOaj8PK2l7WJ3RER9xtqwdhxkhw/edit?usp=sharing"",""กาญจนบุรี!J138"")"),30)</f>
        <v>30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IFERROR(__xludf.DUMMYFUNCTION("IMPORTRANGE(""https://docs.google.com/spreadsheets/d/1SX6NBoVAgQJ6U1MVXOaj8PK2l7WJ3RER9xtqwdhxkhw/edit?usp=sharing"",""กาญจนบุรี!I140"")"),0)</f>
        <v>0</v>
      </c>
      <c r="J215" s="204">
        <f ca="1">IFERROR(__xludf.DUMMYFUNCTION("IMPORTRANGE(""https://docs.google.com/spreadsheets/d/1SX6NBoVAgQJ6U1MVXOaj8PK2l7WJ3RER9xtqwdhxkhw/edit?usp=sharing"",""กาญจนบุรี!J140"")"),0)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IFERROR(__xludf.DUMMYFUNCTION("IMPORTRANGE(""https://docs.google.com/spreadsheets/d/1SX6NBoVAgQJ6U1MVXOaj8PK2l7WJ3RER9xtqwdhxkhw/edit?usp=sharing"",""กาญจนบุรี!I141"")"),1)</f>
        <v>1</v>
      </c>
      <c r="J216" s="204">
        <f ca="1">IFERROR(__xludf.DUMMYFUNCTION("IMPORTRANGE(""https://docs.google.com/spreadsheets/d/1SX6NBoVAgQJ6U1MVXOaj8PK2l7WJ3RER9xtqwdhxkhw/edit?usp=sharing"",""กาญจนบุรี!J141"")"),1)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IFERROR(__xludf.DUMMYFUNCTION("IMPORTRANGE(""https://docs.google.com/spreadsheets/d/1SX6NBoVAgQJ6U1MVXOaj8PK2l7WJ3RER9xtqwdhxkhw/edit?usp=sharing"",""กาญจนบุรี!J142"")"),0)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IFERROR(__xludf.DUMMYFUNCTION("IMPORTRANGE(""https://docs.google.com/spreadsheets/d/1SX6NBoVAgQJ6U1MVXOaj8PK2l7WJ3RER9xtqwdhxkhw/edit?usp=sharing"",""กาญจนบุรี!J143"")"),0)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IFERROR(__xludf.DUMMYFUNCTION("IMPORTRANGE(""https://docs.google.com/spreadsheets/d/1SX6NBoVAgQJ6U1MVXOaj8PK2l7WJ3RER9xtqwdhxkhw/edit?usp=sharing"",""กาญจนบุรี!I144"")"),14)</f>
        <v>14</v>
      </c>
      <c r="J219" s="268">
        <f ca="1">IFERROR(__xludf.DUMMYFUNCTION("IMPORTRANGE(""https://docs.google.com/spreadsheets/d/1SX6NBoVAgQJ6U1MVXOaj8PK2l7WJ3RER9xtqwdhxkhw/edit?usp=sharing"",""กาญจนบุรี!J144"")"),14)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IFERROR(__xludf.DUMMYFUNCTION("IMPORTRANGE(""https://docs.google.com/spreadsheets/d/1Yj_ptqi66GCucihVvJfMjLAmec39IyEx_6qawtMGysU/edit?usp=sharing"",""สบก!BS59"")"),20210)</f>
        <v>20210</v>
      </c>
      <c r="N224" s="169">
        <f ca="1">IFERROR(__xludf.DUMMYFUNCTION("IMPORTRANGE(""https://docs.google.com/spreadsheets/d/1Yj_ptqi66GCucihVvJfMjLAmec39IyEx_6qawtMGysU/edit?usp=sharing"",""สบก!BT59"")"),20210)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IFERROR(__xludf.DUMMYFUNCTION("IMPORTRANGE(""https://docs.google.com/spreadsheets/d/1Yj_ptqi66GCucihVvJfMjLAmec39IyEx_6qawtMGysU/edit?usp=sharing"",""สบก!BP59"")"),20210)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IFERROR(__xludf.DUMMYFUNCTION("IMPORTRANGE(""https://docs.google.com/spreadsheets/d/1Yj_ptqi66GCucihVvJfMjLAmec39IyEx_6qawtMGysU/edit?usp=sharing"",""สบก!BQ59"")"),0)</f>
        <v>0</v>
      </c>
      <c r="M228" s="49"/>
      <c r="N228" s="49">
        <f ca="1">IFERROR(__xludf.DUMMYFUNCTION("IMPORTRANGE(""https://docs.google.com/spreadsheets/d/1Yj_ptqi66GCucihVvJfMjLAmec39IyEx_6qawtMGysU/edit?usp=sharing"",""สบก!BU59"")"),0)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IFERROR(__xludf.DUMMYFUNCTION("IMPORTRANGE(""https://docs.google.com/spreadsheets/d/1SX6NBoVAgQJ6U1MVXOaj8PK2l7WJ3RER9xtqwdhxkhw/edit?usp=sharing"",""กาญจนบุรี!I149"")"),14)</f>
        <v>14</v>
      </c>
      <c r="J229" s="268">
        <f ca="1">IFERROR(__xludf.DUMMYFUNCTION("IMPORTRANGE(""https://docs.google.com/spreadsheets/d/1SX6NBoVAgQJ6U1MVXOaj8PK2l7WJ3RER9xtqwdhxkhw/edit?usp=sharing"",""กาญจนบุรี!J149"")"),14)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IFERROR(__xludf.DUMMYFUNCTION("IMPORTRANGE(""https://docs.google.com/spreadsheets/d/1SX6NBoVAgQJ6U1MVXOaj8PK2l7WJ3RER9xtqwdhxkhw/edit?usp=sharing"",""กาญจนบุรี!J151"")"),0)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IFERROR(__xludf.DUMMYFUNCTION("IMPORTRANGE(""https://docs.google.com/spreadsheets/d/1SX6NBoVAgQJ6U1MVXOaj8PK2l7WJ3RER9xtqwdhxkhw/edit?usp=sharing"",""กาญจนบุรี!J152"")"),0)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IFERROR(__xludf.DUMMYFUNCTION("IMPORTRANGE(""https://docs.google.com/spreadsheets/d/1SX6NBoVAgQJ6U1MVXOaj8PK2l7WJ3RER9xtqwdhxkhw/edit?usp=sharing"",""กาญจนบุรี!J153"")"),1)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IFERROR(__xludf.DUMMYFUNCTION("IMPORTRANGE(""https://docs.google.com/spreadsheets/d/1SX6NBoVAgQJ6U1MVXOaj8PK2l7WJ3RER9xtqwdhxkhw/edit?usp=sharing"",""กาญจนบุรี!J154"")"),0)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IFERROR(__xludf.DUMMYFUNCTION("IMPORTRANGE(""https://docs.google.com/spreadsheets/d/1SX6NBoVAgQJ6U1MVXOaj8PK2l7WJ3RER9xtqwdhxkhw/edit?usp=sharing"",""กาญจนบุรี!I155"")"),14)</f>
        <v>14</v>
      </c>
      <c r="J235" s="189">
        <f ca="1">IFERROR(__xludf.DUMMYFUNCTION("IMPORTRANGE(""https://docs.google.com/spreadsheets/d/1SX6NBoVAgQJ6U1MVXOaj8PK2l7WJ3RER9xtqwdhxkhw/edit?usp=sharing"",""กาญจนบุรี!J155"")"),14)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IFERROR(__xludf.DUMMYFUNCTION("IMPORTRANGE(""https://docs.google.com/spreadsheets/d/1SX6NBoVAgQJ6U1MVXOaj8PK2l7WJ3RER9xtqwdhxkhw/edit?usp=sharing"",""กาญจนบุรี!J156"")"),1)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IFERROR(__xludf.DUMMYFUNCTION("IMPORTRANGE(""https://docs.google.com/spreadsheets/d/1SX6NBoVAgQJ6U1MVXOaj8PK2l7WJ3RER9xtqwdhxkhw/edit?usp=sharing"",""กาญจนบุรี!J157"")"),1)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IFERROR(__xludf.DUMMYFUNCTION("IMPORTRANGE(""https://docs.google.com/spreadsheets/d/1SX6NBoVAgQJ6U1MVXOaj8PK2l7WJ3RER9xtqwdhxkhw/edit?usp=sharing"",""กาญจนบุรี!I158"")"),0)</f>
        <v>0</v>
      </c>
      <c r="J238" s="268">
        <f ca="1">IFERROR(__xludf.DUMMYFUNCTION("IMPORTRANGE(""https://docs.google.com/spreadsheets/d/1SX6NBoVAgQJ6U1MVXOaj8PK2l7WJ3RER9xtqwdhxkhw/edit?usp=sharing"",""กาญจนบุรี!J158"")"),0)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IFERROR(__xludf.DUMMYFUNCTION("IMPORTRANGE(""https://docs.google.com/spreadsheets/d/1SX6NBoVAgQJ6U1MVXOaj8PK2l7WJ3RER9xtqwdhxkhw/edit?usp=sharing"",""กาญจนบุรี!J161"")"),0)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IFERROR(__xludf.DUMMYFUNCTION("IMPORTRANGE(""https://docs.google.com/spreadsheets/d/1SX6NBoVAgQJ6U1MVXOaj8PK2l7WJ3RER9xtqwdhxkhw/edit?usp=sharing"",""กาญจนบุรี!J162"")"),0)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IFERROR(__xludf.DUMMYFUNCTION("IMPORTRANGE(""https://docs.google.com/spreadsheets/d/1SX6NBoVAgQJ6U1MVXOaj8PK2l7WJ3RER9xtqwdhxkhw/edit?usp=sharing"",""กาญจนบุรี!J163"")"),0)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IFERROR(__xludf.DUMMYFUNCTION("IMPORTRANGE(""https://docs.google.com/spreadsheets/d/1SX6NBoVAgQJ6U1MVXOaj8PK2l7WJ3RER9xtqwdhxkhw/edit?usp=sharing"",""กาญจนบุรี!I164"")"),0)</f>
        <v>0</v>
      </c>
      <c r="J244" s="188">
        <f ca="1">IFERROR(__xludf.DUMMYFUNCTION("IMPORTRANGE(""https://docs.google.com/spreadsheets/d/1SX6NBoVAgQJ6U1MVXOaj8PK2l7WJ3RER9xtqwdhxkhw/edit?usp=sharing"",""กาญจนบุรี!J164"")"),0)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IFERROR(__xludf.DUMMYFUNCTION("IMPORTRANGE(""https://docs.google.com/spreadsheets/d/1SX6NBoVAgQJ6U1MVXOaj8PK2l7WJ3RER9xtqwdhxkhw/edit?usp=sharing"",""กาญจนบุรี!J165"")"),0)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IFERROR(__xludf.DUMMYFUNCTION("IMPORTRANGE(""https://docs.google.com/spreadsheets/d/1SX6NBoVAgQJ6U1MVXOaj8PK2l7WJ3RER9xtqwdhxkhw/edit?usp=sharing"",""กาญจนบุรี!J166"")"),0)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IFERROR(__xludf.DUMMYFUNCTION("IMPORTRANGE(""https://docs.google.com/spreadsheets/d/1SX6NBoVAgQJ6U1MVXOaj8PK2l7WJ3RER9xtqwdhxkhw/edit?usp=sharing"",""กาญจนบุรี!I169"")"),20)</f>
        <v>20</v>
      </c>
      <c r="J249" s="317">
        <f ca="1">IFERROR(__xludf.DUMMYFUNCTION("IMPORTRANGE(""https://docs.google.com/spreadsheets/d/1SX6NBoVAgQJ6U1MVXOaj8PK2l7WJ3RER9xtqwdhxkhw/edit?usp=sharing"",""กาญจนบุรี!J169"")"),20)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39040</v>
      </c>
      <c r="O250" s="151">
        <f t="shared" ref="O250:O252" ca="1" si="78">IF(L250&gt;0,N250*100/L250,0)</f>
        <v>54.677871148459381</v>
      </c>
      <c r="P250" s="151">
        <f t="shared" ref="P250:P252" ca="1" si="79">IF(M250&gt;0,N250*100/M250,0)</f>
        <v>54.677871148459381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39040</v>
      </c>
      <c r="O252" s="156">
        <f t="shared" ca="1" si="78"/>
        <v>54.677871148459381</v>
      </c>
      <c r="P252" s="156">
        <f t="shared" ca="1" si="79"/>
        <v>54.677871148459381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IFERROR(__xludf.DUMMYFUNCTION("IMPORTRANGE(""https://docs.google.com/spreadsheets/d/1Yj_ptqi66GCucihVvJfMjLAmec39IyEx_6qawtMGysU/edit?usp=sharing"",""สบก!CB59"")"),71400)</f>
        <v>71400</v>
      </c>
      <c r="N254" s="169">
        <f ca="1">IFERROR(__xludf.DUMMYFUNCTION("IMPORTRANGE(""https://docs.google.com/spreadsheets/d/1Yj_ptqi66GCucihVvJfMjLAmec39IyEx_6qawtMGysU/edit?usp=sharing"",""สบก!CC59"")"),39040)</f>
        <v>39040</v>
      </c>
      <c r="O254" s="169">
        <f ca="1">IF(L254&gt;0,N254*100/L254,0)</f>
        <v>54.677871148459381</v>
      </c>
      <c r="P254" s="169">
        <f ca="1">IF(M254&gt;0,N254*100/M254,0)</f>
        <v>54.677871148459381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IFERROR(__xludf.DUMMYFUNCTION("IMPORTRANGE(""https://docs.google.com/spreadsheets/d/1Yj_ptqi66GCucihVvJfMjLAmec39IyEx_6qawtMGysU/edit?usp=sharing"",""สบก!BY59"")"),71400)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IFERROR(__xludf.DUMMYFUNCTION("IMPORTRANGE(""https://docs.google.com/spreadsheets/d/1Yj_ptqi66GCucihVvJfMjLAmec39IyEx_6qawtMGysU/edit?usp=sharing"",""สบก!BZ59"")"),0)</f>
        <v>0</v>
      </c>
      <c r="M258" s="49"/>
      <c r="N258" s="49">
        <f ca="1">IFERROR(__xludf.DUMMYFUNCTION("IMPORTRANGE(""https://docs.google.com/spreadsheets/d/1Yj_ptqi66GCucihVvJfMjLAmec39IyEx_6qawtMGysU/edit?usp=sharing"",""สบก!CD59"")"),0)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IFERROR(__xludf.DUMMYFUNCTION("IMPORTRANGE(""https://docs.google.com/spreadsheets/d/1SX6NBoVAgQJ6U1MVXOaj8PK2l7WJ3RER9xtqwdhxkhw/edit?usp=sharing"",""กาญจนบุรี!J175"")"),0)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IFERROR(__xludf.DUMMYFUNCTION("IMPORTRANGE(""https://docs.google.com/spreadsheets/d/1SX6NBoVAgQJ6U1MVXOaj8PK2l7WJ3RER9xtqwdhxkhw/edit?usp=sharing"",""กาญจนบุรี!J176"")"),1)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IFERROR(__xludf.DUMMYFUNCTION("IMPORTRANGE(""https://docs.google.com/spreadsheets/d/1SX6NBoVAgQJ6U1MVXOaj8PK2l7WJ3RER9xtqwdhxkhw/edit?usp=sharing"",""กาญจนบุรี!J177"")"),1)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IFERROR(__xludf.DUMMYFUNCTION("IMPORTRANGE(""https://docs.google.com/spreadsheets/d/1SX6NBoVAgQJ6U1MVXOaj8PK2l7WJ3RER9xtqwdhxkhw/edit?usp=sharing"",""กาญจนบุรี!J178"")"),1)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IFERROR(__xludf.DUMMYFUNCTION("IMPORTRANGE(""https://docs.google.com/spreadsheets/d/1SX6NBoVAgQJ6U1MVXOaj8PK2l7WJ3RER9xtqwdhxkhw/edit?usp=sharing"",""กาญจนบุรี!I179"")"),1)</f>
        <v>1</v>
      </c>
      <c r="J264" s="189">
        <f ca="1">IFERROR(__xludf.DUMMYFUNCTION("IMPORTRANGE(""https://docs.google.com/spreadsheets/d/1SX6NBoVAgQJ6U1MVXOaj8PK2l7WJ3RER9xtqwdhxkhw/edit?usp=sharing"",""กาญจนบุรี!J179"")"),1)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IFERROR(__xludf.DUMMYFUNCTION("IMPORTRANGE(""https://docs.google.com/spreadsheets/d/1SX6NBoVAgQJ6U1MVXOaj8PK2l7WJ3RER9xtqwdhxkhw/edit?usp=sharing"",""กาญจนบุรี!I180"")"),20)</f>
        <v>20</v>
      </c>
      <c r="J265" s="189">
        <f ca="1">IFERROR(__xludf.DUMMYFUNCTION("IMPORTRANGE(""https://docs.google.com/spreadsheets/d/1SX6NBoVAgQJ6U1MVXOaj8PK2l7WJ3RER9xtqwdhxkhw/edit?usp=sharing"",""กาญจนบุรี!J180"")"),20)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IFERROR(__xludf.DUMMYFUNCTION("IMPORTRANGE(""https://docs.google.com/spreadsheets/d/1SX6NBoVAgQJ6U1MVXOaj8PK2l7WJ3RER9xtqwdhxkhw/edit?usp=sharing"",""กาญจนบุรี!I181"")"),20)</f>
        <v>20</v>
      </c>
      <c r="J266" s="189">
        <f ca="1">IFERROR(__xludf.DUMMYFUNCTION("IMPORTRANGE(""https://docs.google.com/spreadsheets/d/1SX6NBoVAgQJ6U1MVXOaj8PK2l7WJ3RER9xtqwdhxkhw/edit?usp=sharing"",""กาญจนบุรี!J181"")"),20)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IFERROR(__xludf.DUMMYFUNCTION("IMPORTRANGE(""https://docs.google.com/spreadsheets/d/1SX6NBoVAgQJ6U1MVXOaj8PK2l7WJ3RER9xtqwdhxkhw/edit?usp=sharing"",""กาญจนบุรี!I182"")"),1)</f>
        <v>1</v>
      </c>
      <c r="J267" s="189">
        <f ca="1">IFERROR(__xludf.DUMMYFUNCTION("IMPORTRANGE(""https://docs.google.com/spreadsheets/d/1SX6NBoVAgQJ6U1MVXOaj8PK2l7WJ3RER9xtqwdhxkhw/edit?usp=sharing"",""กาญจนบุรี!J182"")"),1)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IFERROR(__xludf.DUMMYFUNCTION("IMPORTRANGE(""https://docs.google.com/spreadsheets/d/1SX6NBoVAgQJ6U1MVXOaj8PK2l7WJ3RER9xtqwdhxkhw/edit?usp=sharing"",""กาญจนบุรี!J183"")"),0)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IFERROR(__xludf.DUMMYFUNCTION("IMPORTRANGE(""https://docs.google.com/spreadsheets/d/1SX6NBoVAgQJ6U1MVXOaj8PK2l7WJ3RER9xtqwdhxkhw/edit?usp=sharing"",""กาญจนบุรี!J184"")"),0)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IFERROR(__xludf.DUMMYFUNCTION("IMPORTRANGE(""https://docs.google.com/spreadsheets/d/1SX6NBoVAgQJ6U1MVXOaj8PK2l7WJ3RER9xtqwdhxkhw/edit?usp=sharing"",""กาญจนบุรี!I185"")"),20)</f>
        <v>20</v>
      </c>
      <c r="J270" s="317">
        <f ca="1">IFERROR(__xludf.DUMMYFUNCTION("IMPORTRANGE(""https://docs.google.com/spreadsheets/d/1SX6NBoVAgQJ6U1MVXOaj8PK2l7WJ3RER9xtqwdhxkhw/edit?usp=sharing"",""กาญจนบุรี!J185"")"),20)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162330</v>
      </c>
      <c r="O271" s="151">
        <f t="shared" ref="O271:O273" ca="1" si="84">IF(L271&gt;0,N271*100/L271,0)</f>
        <v>88.415032679738559</v>
      </c>
      <c r="P271" s="151">
        <f t="shared" ref="P271:P273" ca="1" si="85">IF(M271&gt;0,N271*100/M271,0)</f>
        <v>88.415032679738559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162330</v>
      </c>
      <c r="O273" s="156">
        <f t="shared" ca="1" si="84"/>
        <v>88.415032679738559</v>
      </c>
      <c r="P273" s="156">
        <f t="shared" ca="1" si="85"/>
        <v>88.415032679738559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IFERROR(__xludf.DUMMYFUNCTION("IMPORTRANGE(""https://docs.google.com/spreadsheets/d/1Yj_ptqi66GCucihVvJfMjLAmec39IyEx_6qawtMGysU/edit?usp=sharing"",""สบก!CK59"")"),183600)</f>
        <v>183600</v>
      </c>
      <c r="N275" s="169">
        <f ca="1">IFERROR(__xludf.DUMMYFUNCTION("IMPORTRANGE(""https://docs.google.com/spreadsheets/d/1Yj_ptqi66GCucihVvJfMjLAmec39IyEx_6qawtMGysU/edit?usp=sharing"",""สบก!CL59"")"),162330)</f>
        <v>162330</v>
      </c>
      <c r="O275" s="169">
        <f ca="1">IF(L275&gt;0,N275*100/L275,0)</f>
        <v>88.415032679738559</v>
      </c>
      <c r="P275" s="169">
        <f ca="1">IF(M275&gt;0,N275*100/M275,0)</f>
        <v>88.415032679738559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IFERROR(__xludf.DUMMYFUNCTION("IMPORTRANGE(""https://docs.google.com/spreadsheets/d/1Yj_ptqi66GCucihVvJfMjLAmec39IyEx_6qawtMGysU/edit?usp=sharing"",""สบก!CH59"")"),183600)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IFERROR(__xludf.DUMMYFUNCTION("IMPORTRANGE(""https://docs.google.com/spreadsheets/d/1Yj_ptqi66GCucihVvJfMjLAmec39IyEx_6qawtMGysU/edit?usp=sharing"",""สบก!CI59"")"),0)</f>
        <v>0</v>
      </c>
      <c r="M279" s="49"/>
      <c r="N279" s="49">
        <f ca="1">IFERROR(__xludf.DUMMYFUNCTION("IMPORTRANGE(""https://docs.google.com/spreadsheets/d/1Yj_ptqi66GCucihVvJfMjLAmec39IyEx_6qawtMGysU/edit?usp=sharing"",""สบก!CM59"")"),0)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IFERROR(__xludf.DUMMYFUNCTION("IMPORTRANGE(""https://docs.google.com/spreadsheets/d/1SX6NBoVAgQJ6U1MVXOaj8PK2l7WJ3RER9xtqwdhxkhw/edit?usp=sharing"",""กาญจนบุรี!J191"")"),0)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IFERROR(__xludf.DUMMYFUNCTION("IMPORTRANGE(""https://docs.google.com/spreadsheets/d/1SX6NBoVAgQJ6U1MVXOaj8PK2l7WJ3RER9xtqwdhxkhw/edit?usp=sharing"",""กาญจนบุรี!J192"")"),1)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IFERROR(__xludf.DUMMYFUNCTION("IMPORTRANGE(""https://docs.google.com/spreadsheets/d/1SX6NBoVAgQJ6U1MVXOaj8PK2l7WJ3RER9xtqwdhxkhw/edit?usp=sharing"",""กาญจนบุรี!J193"")"),1)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IFERROR(__xludf.DUMMYFUNCTION("IMPORTRANGE(""https://docs.google.com/spreadsheets/d/1SX6NBoVAgQJ6U1MVXOaj8PK2l7WJ3RER9xtqwdhxkhw/edit?usp=sharing"",""กาญจนบุรี!J194"")"),1)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IFERROR(__xludf.DUMMYFUNCTION("IMPORTRANGE(""https://docs.google.com/spreadsheets/d/1SX6NBoVAgQJ6U1MVXOaj8PK2l7WJ3RER9xtqwdhxkhw/edit?usp=sharing"",""กาญจนบุรี!I195"")"),20)</f>
        <v>20</v>
      </c>
      <c r="J285" s="189">
        <f ca="1">IFERROR(__xludf.DUMMYFUNCTION("IMPORTRANGE(""https://docs.google.com/spreadsheets/d/1SX6NBoVAgQJ6U1MVXOaj8PK2l7WJ3RER9xtqwdhxkhw/edit?usp=sharing"",""กาญจนบุรี!J195"")"),20)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IFERROR(__xludf.DUMMYFUNCTION("IMPORTRANGE(""https://docs.google.com/spreadsheets/d/1SX6NBoVAgQJ6U1MVXOaj8PK2l7WJ3RER9xtqwdhxkhw/edit?usp=sharing"",""กาญจนบุรี!J196"")"),0)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IFERROR(__xludf.DUMMYFUNCTION("IMPORTRANGE(""https://docs.google.com/spreadsheets/d/1SX6NBoVAgQJ6U1MVXOaj8PK2l7WJ3RER9xtqwdhxkhw/edit?usp=sharing"",""กาญจนบุรี!J197"")"),0)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IFERROR(__xludf.DUMMYFUNCTION("IMPORTRANGE(""https://docs.google.com/spreadsheets/d/1SX6NBoVAgQJ6U1MVXOaj8PK2l7WJ3RER9xtqwdhxkhw/edit?usp=sharing"",""กาญจนบุรี!I199"")"),30)</f>
        <v>30</v>
      </c>
      <c r="J289" s="317">
        <f ca="1">IFERROR(__xludf.DUMMYFUNCTION("IMPORTRANGE(""https://docs.google.com/spreadsheets/d/1SX6NBoVAgQJ6U1MVXOaj8PK2l7WJ3RER9xtqwdhxkhw/edit?usp=sharing"",""กาญจนบุรี!J199"")"),30)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217860</v>
      </c>
      <c r="M290" s="152">
        <f t="shared" ca="1" si="88"/>
        <v>217860</v>
      </c>
      <c r="N290" s="152">
        <f t="shared" ca="1" si="88"/>
        <v>216120</v>
      </c>
      <c r="O290" s="151">
        <f t="shared" ref="O290:O292" ca="1" si="89">IF(L290&gt;0,N290*100/L290,0)</f>
        <v>99.201321949876061</v>
      </c>
      <c r="P290" s="151">
        <f t="shared" ref="P290:P292" ca="1" si="90">IF(M290&gt;0,N290*100/M290,0)</f>
        <v>99.201321949876061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217860</v>
      </c>
      <c r="M292" s="157">
        <f t="shared" ca="1" si="92"/>
        <v>217860</v>
      </c>
      <c r="N292" s="157">
        <f t="shared" ca="1" si="92"/>
        <v>216120</v>
      </c>
      <c r="O292" s="156">
        <f t="shared" ca="1" si="89"/>
        <v>99.201321949876061</v>
      </c>
      <c r="P292" s="156">
        <f t="shared" ca="1" si="90"/>
        <v>99.201321949876061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95360</v>
      </c>
      <c r="M294" s="168">
        <f ca="1">IFERROR(__xludf.DUMMYFUNCTION("IMPORTRANGE(""https://docs.google.com/spreadsheets/d/1Yj_ptqi66GCucihVvJfMjLAmec39IyEx_6qawtMGysU/edit?usp=sharing"",""สบก!CT59"")"),95360)</f>
        <v>95360</v>
      </c>
      <c r="N294" s="169">
        <f ca="1">IFERROR(__xludf.DUMMYFUNCTION("IMPORTRANGE(""https://docs.google.com/spreadsheets/d/1Yj_ptqi66GCucihVvJfMjLAmec39IyEx_6qawtMGysU/edit?usp=sharing"",""สบก!CU59"")"),93620)</f>
        <v>93620</v>
      </c>
      <c r="O294" s="169">
        <f ca="1">IF(L294&gt;0,N294*100/L294,0)</f>
        <v>98.175335570469798</v>
      </c>
      <c r="P294" s="169">
        <f ca="1">IF(M294&gt;0,N294*100/M294,0)</f>
        <v>98.175335570469798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IFERROR(__xludf.DUMMYFUNCTION("IMPORTRANGE(""https://docs.google.com/spreadsheets/d/1Yj_ptqi66GCucihVvJfMjLAmec39IyEx_6qawtMGysU/edit?usp=sharing"",""สบก!CQ59"")"),95360)</f>
        <v>95360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IFERROR(__xludf.DUMMYFUNCTION("IMPORTRANGE(""https://docs.google.com/spreadsheets/d/1Yj_ptqi66GCucihVvJfMjLAmec39IyEx_6qawtMGysU/edit?usp=sharing"",""สบก!CR59"")"),122500)</f>
        <v>122500</v>
      </c>
      <c r="M298" s="49">
        <f ca="1">L298</f>
        <v>122500</v>
      </c>
      <c r="N298" s="49">
        <f ca="1">IFERROR(__xludf.DUMMYFUNCTION("IMPORTRANGE(""https://docs.google.com/spreadsheets/d/1Yj_ptqi66GCucihVvJfMjLAmec39IyEx_6qawtMGysU/edit?usp=sharing"",""สบก!CV59"")"),122500)</f>
        <v>122500</v>
      </c>
      <c r="O298" s="49">
        <f ca="1">IF(L298&gt;0,N298*100/L298,0)</f>
        <v>100</v>
      </c>
      <c r="P298" s="49">
        <f ca="1">IF(M298&gt;0,N298*100/M298,0)</f>
        <v>100</v>
      </c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IFERROR(__xludf.DUMMYFUNCTION("IMPORTRANGE(""https://docs.google.com/spreadsheets/d/1SX6NBoVAgQJ6U1MVXOaj8PK2l7WJ3RER9xtqwdhxkhw/edit?usp=sharing"",""กาญจนบุรี!J205"")"),0)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IFERROR(__xludf.DUMMYFUNCTION("IMPORTRANGE(""https://docs.google.com/spreadsheets/d/1SX6NBoVAgQJ6U1MVXOaj8PK2l7WJ3RER9xtqwdhxkhw/edit?usp=sharing"",""กาญจนบุรี!J206"")"),1)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IFERROR(__xludf.DUMMYFUNCTION("IMPORTRANGE(""https://docs.google.com/spreadsheets/d/1SX6NBoVAgQJ6U1MVXOaj8PK2l7WJ3RER9xtqwdhxkhw/edit?usp=sharing"",""กาญจนบุรี!J207"")"),1)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IFERROR(__xludf.DUMMYFUNCTION("IMPORTRANGE(""https://docs.google.com/spreadsheets/d/1SX6NBoVAgQJ6U1MVXOaj8PK2l7WJ3RER9xtqwdhxkhw/edit?usp=sharing"",""กาญจนบุรี!J208"")"),1)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IFERROR(__xludf.DUMMYFUNCTION("IMPORTRANGE(""https://docs.google.com/spreadsheets/d/1SX6NBoVAgQJ6U1MVXOaj8PK2l7WJ3RER9xtqwdhxkhw/edit?usp=sharing"",""กาญจนบุรี!I209"")"),30)</f>
        <v>30</v>
      </c>
      <c r="J304" s="204">
        <f ca="1">IFERROR(__xludf.DUMMYFUNCTION("IMPORTRANGE(""https://docs.google.com/spreadsheets/d/1SX6NBoVAgQJ6U1MVXOaj8PK2l7WJ3RER9xtqwdhxkhw/edit?usp=sharing"",""กาญจนบุรี!J209"")"),30)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IFERROR(__xludf.DUMMYFUNCTION("IMPORTRANGE(""https://docs.google.com/spreadsheets/d/1SX6NBoVAgQJ6U1MVXOaj8PK2l7WJ3RER9xtqwdhxkhw/edit?usp=sharing"",""กาญจนบุรี!I211"")"),30)</f>
        <v>30</v>
      </c>
      <c r="J306" s="204">
        <f ca="1">IFERROR(__xludf.DUMMYFUNCTION("IMPORTRANGE(""https://docs.google.com/spreadsheets/d/1SX6NBoVAgQJ6U1MVXOaj8PK2l7WJ3RER9xtqwdhxkhw/edit?usp=sharing"",""กาญจนบุรี!J211"")"),30)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IFERROR(__xludf.DUMMYFUNCTION("IMPORTRANGE(""https://docs.google.com/spreadsheets/d/1SX6NBoVAgQJ6U1MVXOaj8PK2l7WJ3RER9xtqwdhxkhw/edit?usp=sharing"",""กาญจนบุรี!J213"")"),0)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IFERROR(__xludf.DUMMYFUNCTION("IMPORTRANGE(""https://docs.google.com/spreadsheets/d/1SX6NBoVAgQJ6U1MVXOaj8PK2l7WJ3RER9xtqwdhxkhw/edit?usp=sharing"",""กาญจนบุรี!I214"")"),3)</f>
        <v>3</v>
      </c>
      <c r="J309" s="334">
        <f ca="1">IFERROR(__xludf.DUMMYFUNCTION("IMPORTRANGE(""https://docs.google.com/spreadsheets/d/1SX6NBoVAgQJ6U1MVXOaj8PK2l7WJ3RER9xtqwdhxkhw/edit?usp=sharing"",""กาญจนบุรี!J214"")"),3)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264600</v>
      </c>
      <c r="M310" s="152">
        <f t="shared" ca="1" si="93"/>
        <v>264600</v>
      </c>
      <c r="N310" s="152">
        <f t="shared" ca="1" si="93"/>
        <v>154996</v>
      </c>
      <c r="O310" s="151">
        <f t="shared" ref="O310:O312" ca="1" si="94">IF(L310&gt;0,N310*100/L310,0)</f>
        <v>58.577475434618293</v>
      </c>
      <c r="P310" s="151">
        <f t="shared" ref="P310:P312" ca="1" si="95">IF(M310&gt;0,N310*100/M310,0)</f>
        <v>58.577475434618293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264600</v>
      </c>
      <c r="M312" s="157">
        <f t="shared" ca="1" si="97"/>
        <v>264600</v>
      </c>
      <c r="N312" s="157">
        <f t="shared" ca="1" si="97"/>
        <v>154996</v>
      </c>
      <c r="O312" s="156">
        <f t="shared" ca="1" si="94"/>
        <v>58.577475434618293</v>
      </c>
      <c r="P312" s="156">
        <f t="shared" ca="1" si="95"/>
        <v>58.577475434618293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264600</v>
      </c>
      <c r="M314" s="168">
        <f ca="1">IFERROR(__xludf.DUMMYFUNCTION("IMPORTRANGE(""https://docs.google.com/spreadsheets/d/1Yj_ptqi66GCucihVvJfMjLAmec39IyEx_6qawtMGysU/edit?usp=sharing"",""สบก!DC59"")"),264600)</f>
        <v>264600</v>
      </c>
      <c r="N314" s="169">
        <f ca="1">IFERROR(__xludf.DUMMYFUNCTION("IMPORTRANGE(""https://docs.google.com/spreadsheets/d/1Yj_ptqi66GCucihVvJfMjLAmec39IyEx_6qawtMGysU/edit?usp=sharing"",""สบก!DD59"")"),154996)</f>
        <v>154996</v>
      </c>
      <c r="O314" s="169">
        <f ca="1">IF(L314&gt;0,N314*100/L314,0)</f>
        <v>58.577475434618293</v>
      </c>
      <c r="P314" s="169">
        <f ca="1">IF(M314&gt;0,N314*100/M314,0)</f>
        <v>58.577475434618293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IFERROR(__xludf.DUMMYFUNCTION("IMPORTRANGE(""https://docs.google.com/spreadsheets/d/1Yj_ptqi66GCucihVvJfMjLAmec39IyEx_6qawtMGysU/edit?usp=sharing"",""สบก!CZ59"")"),264600)</f>
        <v>264600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IFERROR(__xludf.DUMMYFUNCTION("IMPORTRANGE(""https://docs.google.com/spreadsheets/d/1Yj_ptqi66GCucihVvJfMjLAmec39IyEx_6qawtMGysU/edit?usp=sharing"",""สบก!DA59"")"),0)</f>
        <v>0</v>
      </c>
      <c r="M318" s="49"/>
      <c r="N318" s="49">
        <f ca="1">IFERROR(__xludf.DUMMYFUNCTION("IMPORTRANGE(""https://docs.google.com/spreadsheets/d/1Yj_ptqi66GCucihVvJfMjLAmec39IyEx_6qawtMGysU/edit?usp=sharing"",""สบก!DE59"")"),0)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IFERROR(__xludf.DUMMYFUNCTION("IMPORTRANGE(""https://docs.google.com/spreadsheets/d/1SX6NBoVAgQJ6U1MVXOaj8PK2l7WJ3RER9xtqwdhxkhw/edit?usp=sharing"",""กาญจนบุรี!J220"")"),0)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IFERROR(__xludf.DUMMYFUNCTION("IMPORTRANGE(""https://docs.google.com/spreadsheets/d/1SX6NBoVAgQJ6U1MVXOaj8PK2l7WJ3RER9xtqwdhxkhw/edit?usp=sharing"",""กาญจนบุรี!J221"")"),1)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IFERROR(__xludf.DUMMYFUNCTION("IMPORTRANGE(""https://docs.google.com/spreadsheets/d/1SX6NBoVAgQJ6U1MVXOaj8PK2l7WJ3RER9xtqwdhxkhw/edit?usp=sharing"",""กาญจนบุรี!J222"")"),1)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IFERROR(__xludf.DUMMYFUNCTION("IMPORTRANGE(""https://docs.google.com/spreadsheets/d/1SX6NBoVAgQJ6U1MVXOaj8PK2l7WJ3RER9xtqwdhxkhw/edit?usp=sharing"",""กาญจนบุรี!J223"")"),1)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IFERROR(__xludf.DUMMYFUNCTION("IMPORTRANGE(""https://docs.google.com/spreadsheets/d/1SX6NBoVAgQJ6U1MVXOaj8PK2l7WJ3RER9xtqwdhxkhw/edit?usp=sharing"",""กาญจนบุรี!I224"")"),3)</f>
        <v>3</v>
      </c>
      <c r="J324" s="204">
        <f ca="1">IFERROR(__xludf.DUMMYFUNCTION("IMPORTRANGE(""https://docs.google.com/spreadsheets/d/1SX6NBoVAgQJ6U1MVXOaj8PK2l7WJ3RER9xtqwdhxkhw/edit?usp=sharing"",""กาญจนบุรี!J224"")"),3)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IFERROR(__xludf.DUMMYFUNCTION("IMPORTRANGE(""https://docs.google.com/spreadsheets/d/1SX6NBoVAgQJ6U1MVXOaj8PK2l7WJ3RER9xtqwdhxkhw/edit?usp=sharing"",""กาญจนบุรี!J225"")"),0)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IFERROR(__xludf.DUMMYFUNCTION("IMPORTRANGE(""https://docs.google.com/spreadsheets/d/1SX6NBoVAgQJ6U1MVXOaj8PK2l7WJ3RER9xtqwdhxkhw/edit?usp=sharing"",""กาญจนบุรี!J226"")"),0)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IFERROR(__xludf.DUMMYFUNCTION("IMPORTRANGE(""https://docs.google.com/spreadsheets/d/1SX6NBoVAgQJ6U1MVXOaj8PK2l7WJ3RER9xtqwdhxkhw/edit?usp=sharing"",""กาญจนบุรี!I228"")"),220)</f>
        <v>220</v>
      </c>
      <c r="J328" s="340">
        <f ca="1">IFERROR(__xludf.DUMMYFUNCTION("IMPORTRANGE(""https://docs.google.com/spreadsheets/d/1SX6NBoVAgQJ6U1MVXOaj8PK2l7WJ3RER9xtqwdhxkhw/edit?usp=sharing"",""กาญจนบุรี!J228"")"),31)</f>
        <v>31</v>
      </c>
      <c r="K328" s="318">
        <f ca="1">IF(I328&gt;0,J328*100/I328,0)</f>
        <v>14.090909090909092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1010640</v>
      </c>
      <c r="M329" s="152">
        <f t="shared" ca="1" si="98"/>
        <v>1003380</v>
      </c>
      <c r="N329" s="152">
        <f t="shared" ca="1" si="98"/>
        <v>751416.38</v>
      </c>
      <c r="O329" s="151">
        <f t="shared" ref="O329:O331" ca="1" si="99">IF(L329&gt;0,N329*100/L329,0)</f>
        <v>74.35054816749782</v>
      </c>
      <c r="P329" s="151">
        <f t="shared" ref="P329:P331" ca="1" si="100">IF(M329&gt;0,N329*100/M329,0)</f>
        <v>74.888514819908707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1010640</v>
      </c>
      <c r="M331" s="157">
        <f t="shared" ca="1" si="102"/>
        <v>1003380</v>
      </c>
      <c r="N331" s="157">
        <f t="shared" ca="1" si="102"/>
        <v>751416.38</v>
      </c>
      <c r="O331" s="156">
        <f t="shared" ca="1" si="99"/>
        <v>74.35054816749782</v>
      </c>
      <c r="P331" s="156">
        <f t="shared" ca="1" si="100"/>
        <v>74.888514819908707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1010640</v>
      </c>
      <c r="M333" s="168">
        <f ca="1">IFERROR(__xludf.DUMMYFUNCTION("IMPORTRANGE(""https://docs.google.com/spreadsheets/d/1Yj_ptqi66GCucihVvJfMjLAmec39IyEx_6qawtMGysU/edit?usp=sharing"",""สบก!DL59"")"),1003380)</f>
        <v>1003380</v>
      </c>
      <c r="N333" s="169">
        <f ca="1">IFERROR(__xludf.DUMMYFUNCTION("IMPORTRANGE(""https://docs.google.com/spreadsheets/d/1Yj_ptqi66GCucihVvJfMjLAmec39IyEx_6qawtMGysU/edit?usp=sharing"",""สบก!DM59"")"),751416.38)</f>
        <v>751416.38</v>
      </c>
      <c r="O333" s="169">
        <f ca="1">IF(L333&gt;0,N333*100/L333,0)</f>
        <v>74.35054816749782</v>
      </c>
      <c r="P333" s="169">
        <f ca="1">IF(M333&gt;0,N333*100/M333,0)</f>
        <v>74.888514819908707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IFERROR(__xludf.DUMMYFUNCTION("IMPORTRANGE(""https://docs.google.com/spreadsheets/d/1Yj_ptqi66GCucihVvJfMjLAmec39IyEx_6qawtMGysU/edit?usp=sharing"",""สบก!DH59"")"),629200)</f>
        <v>629200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IFERROR(__xludf.DUMMYFUNCTION("IMPORTRANGE(""https://docs.google.com/spreadsheets/d/1Yj_ptqi66GCucihVvJfMjLAmec39IyEx_6qawtMGysU/edit?usp=sharing"",""สบก!DI59"")"),381440)</f>
        <v>381440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IFERROR(__xludf.DUMMYFUNCTION("IMPORTRANGE(""https://docs.google.com/spreadsheets/d/1Yj_ptqi66GCucihVvJfMjLAmec39IyEx_6qawtMGysU/edit?usp=sharing"",""สบก!DJ59"")"),0)</f>
        <v>0</v>
      </c>
      <c r="M337" s="49"/>
      <c r="N337" s="49">
        <f ca="1">IFERROR(__xludf.DUMMYFUNCTION("IMPORTRANGE(""https://docs.google.com/spreadsheets/d/1Yj_ptqi66GCucihVvJfMjLAmec39IyEx_6qawtMGysU/edit?usp=sharing"",""สบก!DN59"")"),0)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IFERROR(__xludf.DUMMYFUNCTION("IMPORTRANGE(""https://docs.google.com/spreadsheets/d/1SX6NBoVAgQJ6U1MVXOaj8PK2l7WJ3RER9xtqwdhxkhw/edit?usp=sharing"",""กาญจนบุรี!I234"")"),0)</f>
        <v>0</v>
      </c>
      <c r="J339" s="188">
        <f ca="1">IFERROR(__xludf.DUMMYFUNCTION("IMPORTRANGE(""https://docs.google.com/spreadsheets/d/1SX6NBoVAgQJ6U1MVXOaj8PK2l7WJ3RER9xtqwdhxkhw/edit?usp=sharing"",""กาญจนบุรี!J234"")"),44)</f>
        <v>44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IFERROR(__xludf.DUMMYFUNCTION("IMPORTRANGE(""https://docs.google.com/spreadsheets/d/1SX6NBoVAgQJ6U1MVXOaj8PK2l7WJ3RER9xtqwdhxkhw/edit?usp=sharing"",""กาญจนบุรี!I235"")"),1960)</f>
        <v>1960</v>
      </c>
      <c r="J340" s="188">
        <f ca="1">IFERROR(__xludf.DUMMYFUNCTION("IMPORTRANGE(""https://docs.google.com/spreadsheets/d/1SX6NBoVAgQJ6U1MVXOaj8PK2l7WJ3RER9xtqwdhxkhw/edit?usp=sharing"",""กาญจนบุรี!J235"")"),319.06)</f>
        <v>319.06</v>
      </c>
      <c r="K340" s="343">
        <f t="shared" ca="1" si="103"/>
        <v>16.278571428571428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IFERROR(__xludf.DUMMYFUNCTION("IMPORTRANGE(""https://docs.google.com/spreadsheets/d/1SX6NBoVAgQJ6U1MVXOaj8PK2l7WJ3RER9xtqwdhxkhw/edit?usp=sharing"",""กาญจนบุรี!I236"")"),220)</f>
        <v>220</v>
      </c>
      <c r="J341" s="188">
        <f ca="1">IFERROR(__xludf.DUMMYFUNCTION("IMPORTRANGE(""https://docs.google.com/spreadsheets/d/1SX6NBoVAgQJ6U1MVXOaj8PK2l7WJ3RER9xtqwdhxkhw/edit?usp=sharing"",""กาญจนบุรี!J236"")"),38)</f>
        <v>38</v>
      </c>
      <c r="K341" s="343">
        <f t="shared" ca="1" si="103"/>
        <v>17.272727272727273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IFERROR(__xludf.DUMMYFUNCTION("IMPORTRANGE(""https://docs.google.com/spreadsheets/d/1SX6NBoVAgQJ6U1MVXOaj8PK2l7WJ3RER9xtqwdhxkhw/edit?usp=sharing"",""กาญจนบุรี!I237"")"),0)</f>
        <v>0</v>
      </c>
      <c r="J342" s="188">
        <f ca="1">IFERROR(__xludf.DUMMYFUNCTION("IMPORTRANGE(""https://docs.google.com/spreadsheets/d/1SX6NBoVAgQJ6U1MVXOaj8PK2l7WJ3RER9xtqwdhxkhw/edit?usp=sharing"",""กาญจนบุรี!J237"")"),318.06)</f>
        <v>318.06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IFERROR(__xludf.DUMMYFUNCTION("IMPORTRANGE(""https://docs.google.com/spreadsheets/d/1SX6NBoVAgQJ6U1MVXOaj8PK2l7WJ3RER9xtqwdhxkhw/edit?usp=sharing"",""กาญจนบุรี!I238"")"),220)</f>
        <v>220</v>
      </c>
      <c r="J343" s="188">
        <f ca="1">IFERROR(__xludf.DUMMYFUNCTION("IMPORTRANGE(""https://docs.google.com/spreadsheets/d/1SX6NBoVAgQJ6U1MVXOaj8PK2l7WJ3RER9xtqwdhxkhw/edit?usp=sharing"",""กาญจนบุรี!J238"")"),0)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IFERROR(__xludf.DUMMYFUNCTION("IMPORTRANGE(""https://docs.google.com/spreadsheets/d/1SX6NBoVAgQJ6U1MVXOaj8PK2l7WJ3RER9xtqwdhxkhw/edit?usp=sharing"",""กาญจนบุรี!I239"")"),0)</f>
        <v>0</v>
      </c>
      <c r="J344" s="188">
        <f ca="1">IFERROR(__xludf.DUMMYFUNCTION("IMPORTRANGE(""https://docs.google.com/spreadsheets/d/1SX6NBoVAgQJ6U1MVXOaj8PK2l7WJ3RER9xtqwdhxkhw/edit?usp=sharing"",""กาญจนบุรี!J239"")"),0)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IFERROR(__xludf.DUMMYFUNCTION("IMPORTRANGE(""https://docs.google.com/spreadsheets/d/1SX6NBoVAgQJ6U1MVXOaj8PK2l7WJ3RER9xtqwdhxkhw/edit?usp=sharing"",""กาญจนบุรี!I240"")"),220)</f>
        <v>220</v>
      </c>
      <c r="J345" s="188">
        <f ca="1">IFERROR(__xludf.DUMMYFUNCTION("IMPORTRANGE(""https://docs.google.com/spreadsheets/d/1SX6NBoVAgQJ6U1MVXOaj8PK2l7WJ3RER9xtqwdhxkhw/edit?usp=sharing"",""กาญจนบุรี!J240"")"),31)</f>
        <v>31</v>
      </c>
      <c r="K345" s="343">
        <f t="shared" ca="1" si="103"/>
        <v>14.090909090909092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IFERROR(__xludf.DUMMYFUNCTION("IMPORTRANGE(""https://docs.google.com/spreadsheets/d/1SX6NBoVAgQJ6U1MVXOaj8PK2l7WJ3RER9xtqwdhxkhw/edit?usp=sharing"",""กาญจนบุรี!I241"")"),0)</f>
        <v>0</v>
      </c>
      <c r="J346" s="188">
        <f ca="1">IFERROR(__xludf.DUMMYFUNCTION("IMPORTRANGE(""https://docs.google.com/spreadsheets/d/1SX6NBoVAgQJ6U1MVXOaj8PK2l7WJ3RER9xtqwdhxkhw/edit?usp=sharing"",""กาญจนบุรี!J241"")"),269.409999999999)</f>
        <v>269.409999999999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IFERROR(__xludf.DUMMYFUNCTION("IMPORTRANGE(""https://docs.google.com/spreadsheets/d/1SX6NBoVAgQJ6U1MVXOaj8PK2l7WJ3RER9xtqwdhxkhw/edit?usp=sharing"",""กาญจนบุรี!L242"")"),3234038)</f>
        <v>3234038</v>
      </c>
      <c r="M347" s="358"/>
      <c r="N347" s="358">
        <f ca="1">IFERROR(__xludf.DUMMYFUNCTION("IMPORTRANGE(""https://docs.google.com/spreadsheets/d/1SX6NBoVAgQJ6U1MVXOaj8PK2l7WJ3RER9xtqwdhxkhw/edit?usp=sharing"",""กาญจนบุรี!M242"")"),1405461.47)</f>
        <v>1405461.47</v>
      </c>
      <c r="O347" s="358">
        <f ca="1">+IF(L347&gt;0,N347*100/L347,0)</f>
        <v>43.458409270391996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IFERROR(__xludf.DUMMYFUNCTION("IMPORTRANGE(""https://docs.google.com/spreadsheets/d/1SX6NBoVAgQJ6U1MVXOaj8PK2l7WJ3RER9xtqwdhxkhw/edit?usp=sharing"",""กาญจนบุรี!I244"")"),150)</f>
        <v>150</v>
      </c>
      <c r="J349" s="371">
        <f ca="1">IFERROR(__xludf.DUMMYFUNCTION("IMPORTRANGE(""https://docs.google.com/spreadsheets/d/1SX6NBoVAgQJ6U1MVXOaj8PK2l7WJ3RER9xtqwdhxkhw/edit?usp=sharing"",""กาญจนบุรี!J244"")"),150)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IFERROR(__xludf.DUMMYFUNCTION("IMPORTRANGE(""https://docs.google.com/spreadsheets/d/1SX6NBoVAgQJ6U1MVXOaj8PK2l7WJ3RER9xtqwdhxkhw/edit?usp=sharing"",""กาญจนบุรี!L244"")"),380760)</f>
        <v>380760</v>
      </c>
      <c r="M349" s="373"/>
      <c r="N349" s="373">
        <f ca="1">IFERROR(__xludf.DUMMYFUNCTION("IMPORTRANGE(""https://docs.google.com/spreadsheets/d/1SX6NBoVAgQJ6U1MVXOaj8PK2l7WJ3RER9xtqwdhxkhw/edit?usp=sharing"",""กาญจนบุรี!M244"")"),296957)</f>
        <v>296957</v>
      </c>
      <c r="O349" s="373">
        <f ca="1">+IF(L349&gt;0,N349*100/L349,0)</f>
        <v>77.990597751864698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IFERROR(__xludf.DUMMYFUNCTION("IMPORTRANGE(""https://docs.google.com/spreadsheets/d/1SX6NBoVAgQJ6U1MVXOaj8PK2l7WJ3RER9xtqwdhxkhw/edit?usp=sharing"",""กาญจนบุรี!I245"")"),30)</f>
        <v>30</v>
      </c>
      <c r="J350" s="371">
        <f ca="1">IFERROR(__xludf.DUMMYFUNCTION("IMPORTRANGE(""https://docs.google.com/spreadsheets/d/1SX6NBoVAgQJ6U1MVXOaj8PK2l7WJ3RER9xtqwdhxkhw/edit?usp=sharing"",""กาญจนบุรี!J245"")"),30)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IFERROR(__xludf.DUMMYFUNCTION("IMPORTRANGE(""https://docs.google.com/spreadsheets/d/1SX6NBoVAgQJ6U1MVXOaj8PK2l7WJ3RER9xtqwdhxkhw/edit?usp=sharing"",""กาญจนบุรี!L246"")"),0)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IFERROR(__xludf.DUMMYFUNCTION("IMPORTRANGE(""https://docs.google.com/spreadsheets/d/1SX6NBoVAgQJ6U1MVXOaj8PK2l7WJ3RER9xtqwdhxkhw/edit?usp=sharing"",""กาญจนบุรี!M246"")"),0)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IFERROR(__xludf.DUMMYFUNCTION("IMPORTRANGE(""https://docs.google.com/spreadsheets/d/1SX6NBoVAgQJ6U1MVXOaj8PK2l7WJ3RER9xtqwdhxkhw/edit?usp=sharing"",""กาญจนบุรี!L247"")"),380760)</f>
        <v>380760</v>
      </c>
      <c r="M352" s="165"/>
      <c r="N352" s="164">
        <f ca="1">IFERROR(__xludf.DUMMYFUNCTION("IMPORTRANGE(""https://docs.google.com/spreadsheets/d/1SX6NBoVAgQJ6U1MVXOaj8PK2l7WJ3RER9xtqwdhxkhw/edit?usp=sharing"",""กาญจนบุรี!M247"")"),296957)</f>
        <v>296957</v>
      </c>
      <c r="O352" s="165">
        <f t="shared" ca="1" si="105"/>
        <v>77.990597751864698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IFERROR(__xludf.DUMMYFUNCTION("IMPORTRANGE(""https://docs.google.com/spreadsheets/d/1SX6NBoVAgQJ6U1MVXOaj8PK2l7WJ3RER9xtqwdhxkhw/edit?usp=sharing"",""กาญจนบุรี!L248"")"),0)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IFERROR(__xludf.DUMMYFUNCTION("IMPORTRANGE(""https://docs.google.com/spreadsheets/d/1SX6NBoVAgQJ6U1MVXOaj8PK2l7WJ3RER9xtqwdhxkhw/edit?usp=sharing"",""กาญจนบุรี!M248"")"),0)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IFERROR(__xludf.DUMMYFUNCTION("IMPORTRANGE(""https://docs.google.com/spreadsheets/d/1SX6NBoVAgQJ6U1MVXOaj8PK2l7WJ3RER9xtqwdhxkhw/edit?usp=sharing"",""กาญจนบุรี!L249"")"),380760)</f>
        <v>380760</v>
      </c>
      <c r="M354" s="169"/>
      <c r="N354" s="168">
        <f ca="1">IFERROR(__xludf.DUMMYFUNCTION("IMPORTRANGE(""https://docs.google.com/spreadsheets/d/1SX6NBoVAgQJ6U1MVXOaj8PK2l7WJ3RER9xtqwdhxkhw/edit?usp=sharing"",""กาญจนบุรี!M249"")"),296957)</f>
        <v>296957</v>
      </c>
      <c r="O354" s="169">
        <f t="shared" ca="1" si="105"/>
        <v>77.990597751864698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IFERROR(__xludf.DUMMYFUNCTION("IMPORTRANGE(""https://docs.google.com/spreadsheets/d/1SX6NBoVAgQJ6U1MVXOaj8PK2l7WJ3RER9xtqwdhxkhw/edit?usp=sharing"",""กาญจนบุรี!M250"")"),32180)</f>
        <v>32180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IFERROR(__xludf.DUMMYFUNCTION("IMPORTRANGE(""https://docs.google.com/spreadsheets/d/1SX6NBoVAgQJ6U1MVXOaj8PK2l7WJ3RER9xtqwdhxkhw/edit?usp=sharing"",""กาญจนบุรี!M251"")"),165000)</f>
        <v>165000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IFERROR(__xludf.DUMMYFUNCTION("IMPORTRANGE(""https://docs.google.com/spreadsheets/d/1SX6NBoVAgQJ6U1MVXOaj8PK2l7WJ3RER9xtqwdhxkhw/edit?usp=sharing"",""กาญจนบุรี!M252"")"),84707)</f>
        <v>84707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IFERROR(__xludf.DUMMYFUNCTION("IMPORTRANGE(""https://docs.google.com/spreadsheets/d/1SX6NBoVAgQJ6U1MVXOaj8PK2l7WJ3RER9xtqwdhxkhw/edit?usp=sharing"",""กาญจนบุรี!M253"")"),15070)</f>
        <v>15070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IFERROR(__xludf.DUMMYFUNCTION("IMPORTRANGE(""https://docs.google.com/spreadsheets/d/1SX6NBoVAgQJ6U1MVXOaj8PK2l7WJ3RER9xtqwdhxkhw/edit?usp=sharing"",""กาญจนบุรี!J255"")"),0)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IFERROR(__xludf.DUMMYFUNCTION("IMPORTRANGE(""https://docs.google.com/spreadsheets/d/1SX6NBoVAgQJ6U1MVXOaj8PK2l7WJ3RER9xtqwdhxkhw/edit?usp=sharing"",""กาญจนบุรี!J256"")"),1)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IFERROR(__xludf.DUMMYFUNCTION("IMPORTRANGE(""https://docs.google.com/spreadsheets/d/1SX6NBoVAgQJ6U1MVXOaj8PK2l7WJ3RER9xtqwdhxkhw/edit?usp=sharing"",""กาญจนบุรี!J257"")"),1)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IFERROR(__xludf.DUMMYFUNCTION("IMPORTRANGE(""https://docs.google.com/spreadsheets/d/1SX6NBoVAgQJ6U1MVXOaj8PK2l7WJ3RER9xtqwdhxkhw/edit?usp=sharing"",""กาญจนบุรี!J258"")"),1)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IFERROR(__xludf.DUMMYFUNCTION("IMPORTRANGE(""https://docs.google.com/spreadsheets/d/1SX6NBoVAgQJ6U1MVXOaj8PK2l7WJ3RER9xtqwdhxkhw/edit?usp=sharing"",""กาญจนบุรี!J166"")"),0)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IFERROR(__xludf.DUMMYFUNCTION("IMPORTRANGE(""https://docs.google.com/spreadsheets/d/1SX6NBoVAgQJ6U1MVXOaj8PK2l7WJ3RER9xtqwdhxkhw/edit?usp=sharing"",""กาญจนบุรี!J166"")"),0)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IFERROR(__xludf.DUMMYFUNCTION("IMPORTRANGE(""https://docs.google.com/spreadsheets/d/1SX6NBoVAgQJ6U1MVXOaj8PK2l7WJ3RER9xtqwdhxkhw/edit?usp=sharing"",""กาญจนบุรี!J166"")"),0)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IFERROR(__xludf.DUMMYFUNCTION("IMPORTRANGE(""https://docs.google.com/spreadsheets/d/1SX6NBoVAgQJ6U1MVXOaj8PK2l7WJ3RER9xtqwdhxkhw/edit?usp=sharing"",""กาญจนบุรี!J166"")"),0)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IFERROR(__xludf.DUMMYFUNCTION("IMPORTRANGE(""https://docs.google.com/spreadsheets/d/1SX6NBoVAgQJ6U1MVXOaj8PK2l7WJ3RER9xtqwdhxkhw/edit?usp=sharing"",""กาญจนบุรี!I263"")"),30)</f>
        <v>30</v>
      </c>
      <c r="J368" s="188">
        <f ca="1">IFERROR(__xludf.DUMMYFUNCTION("IMPORTRANGE(""https://docs.google.com/spreadsheets/d/1SX6NBoVAgQJ6U1MVXOaj8PK2l7WJ3RER9xtqwdhxkhw/edit?usp=sharing"",""กาญจนบุรี!J263"")"),30)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IFERROR(__xludf.DUMMYFUNCTION("IMPORTRANGE(""https://docs.google.com/spreadsheets/d/1SX6NBoVAgQJ6U1MVXOaj8PK2l7WJ3RER9xtqwdhxkhw/edit?usp=sharing"",""กาญจนบุรี!I164"")"),0)</f>
        <v>0</v>
      </c>
      <c r="J369" s="204">
        <f ca="1">IFERROR(__xludf.DUMMYFUNCTION("IMPORTRANGE(""https://docs.google.com/spreadsheets/d/1SX6NBoVAgQJ6U1MVXOaj8PK2l7WJ3RER9xtqwdhxkhw/edit?usp=sharing"",""กาญจนบุรี!J164"")"),0)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IFERROR(__xludf.DUMMYFUNCTION("IMPORTRANGE(""https://docs.google.com/spreadsheets/d/1SX6NBoVAgQJ6U1MVXOaj8PK2l7WJ3RER9xtqwdhxkhw/edit?usp=sharing"",""กาญจนบุรี!I265"")"),30)</f>
        <v>30</v>
      </c>
      <c r="J370" s="204">
        <f ca="1">IFERROR(__xludf.DUMMYFUNCTION("IMPORTRANGE(""https://docs.google.com/spreadsheets/d/1SX6NBoVAgQJ6U1MVXOaj8PK2l7WJ3RER9xtqwdhxkhw/edit?usp=sharing"",""กาญจนบุรี!J265"")"),30)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IFERROR(__xludf.DUMMYFUNCTION("IMPORTRANGE(""https://docs.google.com/spreadsheets/d/1SX6NBoVAgQJ6U1MVXOaj8PK2l7WJ3RER9xtqwdhxkhw/edit?usp=sharing"",""กาญจนบุรี!I164"")"),0)</f>
        <v>0</v>
      </c>
      <c r="J371" s="189">
        <f ca="1">IFERROR(__xludf.DUMMYFUNCTION("IMPORTRANGE(""https://docs.google.com/spreadsheets/d/1SX6NBoVAgQJ6U1MVXOaj8PK2l7WJ3RER9xtqwdhxkhw/edit?usp=sharing"",""กาญจนบุรี!J164"")"),0)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IFERROR(__xludf.DUMMYFUNCTION("IMPORTRANGE(""https://docs.google.com/spreadsheets/d/1SX6NBoVAgQJ6U1MVXOaj8PK2l7WJ3RER9xtqwdhxkhw/edit?usp=sharing"",""กาญจนบุรี!I267"")"),30)</f>
        <v>30</v>
      </c>
      <c r="J372" s="189">
        <f ca="1">IFERROR(__xludf.DUMMYFUNCTION("IMPORTRANGE(""https://docs.google.com/spreadsheets/d/1SX6NBoVAgQJ6U1MVXOaj8PK2l7WJ3RER9xtqwdhxkhw/edit?usp=sharing"",""กาญจนบุรี!J267"")"),30)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IFERROR(__xludf.DUMMYFUNCTION("IMPORTRANGE(""https://docs.google.com/spreadsheets/d/1SX6NBoVAgQJ6U1MVXOaj8PK2l7WJ3RER9xtqwdhxkhw/edit?usp=sharing"",""กาญจนบุรี!I164"")"),0)</f>
        <v>0</v>
      </c>
      <c r="J373" s="204">
        <f ca="1">IFERROR(__xludf.DUMMYFUNCTION("IMPORTRANGE(""https://docs.google.com/spreadsheets/d/1SX6NBoVAgQJ6U1MVXOaj8PK2l7WJ3RER9xtqwdhxkhw/edit?usp=sharing"",""กาญจนบุรี!J164"")"),0)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IFERROR(__xludf.DUMMYFUNCTION("IMPORTRANGE(""https://docs.google.com/spreadsheets/d/1SX6NBoVAgQJ6U1MVXOaj8PK2l7WJ3RER9xtqwdhxkhw/edit?usp=sharing"",""กาญจนบุรี!I164"")"),0)</f>
        <v>0</v>
      </c>
      <c r="J374" s="188">
        <f ca="1">IFERROR(__xludf.DUMMYFUNCTION("IMPORTRANGE(""https://docs.google.com/spreadsheets/d/1SX6NBoVAgQJ6U1MVXOaj8PK2l7WJ3RER9xtqwdhxkhw/edit?usp=sharing"",""กาญจนบุรี!J164"")"),0)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IFERROR(__xludf.DUMMYFUNCTION("IMPORTRANGE(""https://docs.google.com/spreadsheets/d/1SX6NBoVAgQJ6U1MVXOaj8PK2l7WJ3RER9xtqwdhxkhw/edit?usp=sharing"",""กาญจนบุรี!I270"")"),150)</f>
        <v>150</v>
      </c>
      <c r="J375" s="188">
        <f ca="1">IFERROR(__xludf.DUMMYFUNCTION("IMPORTRANGE(""https://docs.google.com/spreadsheets/d/1SX6NBoVAgQJ6U1MVXOaj8PK2l7WJ3RER9xtqwdhxkhw/edit?usp=sharing"",""กาญจนบุรี!J270"")"),150)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IFERROR(__xludf.DUMMYFUNCTION("IMPORTRANGE(""https://docs.google.com/spreadsheets/d/1SX6NBoVAgQJ6U1MVXOaj8PK2l7WJ3RER9xtqwdhxkhw/edit?usp=sharing"",""กาญจนบุรี!I271"")"),150)</f>
        <v>150</v>
      </c>
      <c r="J376" s="189">
        <f ca="1">IFERROR(__xludf.DUMMYFUNCTION("IMPORTRANGE(""https://docs.google.com/spreadsheets/d/1SX6NBoVAgQJ6U1MVXOaj8PK2l7WJ3RER9xtqwdhxkhw/edit?usp=sharing"",""กาญจนบุรี!J271"")"),150)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IFERROR(__xludf.DUMMYFUNCTION("IMPORTRANGE(""https://docs.google.com/spreadsheets/d/1SX6NBoVAgQJ6U1MVXOaj8PK2l7WJ3RER9xtqwdhxkhw/edit?usp=sharing"",""กาญจนบุรี!I272"")"),0)</f>
        <v>0</v>
      </c>
      <c r="J377" s="204">
        <f ca="1">IFERROR(__xludf.DUMMYFUNCTION("IMPORTRANGE(""https://docs.google.com/spreadsheets/d/1SX6NBoVAgQJ6U1MVXOaj8PK2l7WJ3RER9xtqwdhxkhw/edit?usp=sharing"",""กาญจนบุรี!J272"")"),0)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IFERROR(__xludf.DUMMYFUNCTION("IMPORTRANGE(""https://docs.google.com/spreadsheets/d/1SX6NBoVAgQJ6U1MVXOaj8PK2l7WJ3RER9xtqwdhxkhw/edit?usp=sharing"",""กาญจนบุรี!J273"")"),0)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IFERROR(__xludf.DUMMYFUNCTION("IMPORTRANGE(""https://docs.google.com/spreadsheets/d/1SX6NBoVAgQJ6U1MVXOaj8PK2l7WJ3RER9xtqwdhxkhw/edit?usp=sharing"",""กาญจนบุรี!J274"")"),0)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IFERROR(__xludf.DUMMYFUNCTION("IMPORTRANGE(""https://docs.google.com/spreadsheets/d/1SX6NBoVAgQJ6U1MVXOaj8PK2l7WJ3RER9xtqwdhxkhw/edit?usp=sharing"",""กาญจนบุรี!I275"")"),1000)</f>
        <v>1000</v>
      </c>
      <c r="J380" s="371">
        <f ca="1">IFERROR(__xludf.DUMMYFUNCTION("IMPORTRANGE(""https://docs.google.com/spreadsheets/d/1SX6NBoVAgQJ6U1MVXOaj8PK2l7WJ3RER9xtqwdhxkhw/edit?usp=sharing"",""กาญจนบุรี!J275"")"),1000)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IFERROR(__xludf.DUMMYFUNCTION("IMPORTRANGE(""https://docs.google.com/spreadsheets/d/1SX6NBoVAgQJ6U1MVXOaj8PK2l7WJ3RER9xtqwdhxkhw/edit?usp=sharing"",""กาญจนบุรี!L275"")"),1028520)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IFERROR(__xludf.DUMMYFUNCTION("IMPORTRANGE(""https://docs.google.com/spreadsheets/d/1SX6NBoVAgQJ6U1MVXOaj8PK2l7WJ3RER9xtqwdhxkhw/edit?usp=sharing"",""กาญจนบุรี!M275"")"),621345.5)</f>
        <v>621345.5</v>
      </c>
      <c r="O380" s="373">
        <f ca="1">+IF(L380&gt;0,N380*100/L380,0)</f>
        <v>60.411610858320692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IFERROR(__xludf.DUMMYFUNCTION("IMPORTRANGE(""https://docs.google.com/spreadsheets/d/1SX6NBoVAgQJ6U1MVXOaj8PK2l7WJ3RER9xtqwdhxkhw/edit?usp=sharing"",""กาญจนบุรี!I276"")"),100)</f>
        <v>100</v>
      </c>
      <c r="J381" s="371">
        <f ca="1">IFERROR(__xludf.DUMMYFUNCTION("IMPORTRANGE(""https://docs.google.com/spreadsheets/d/1SX6NBoVAgQJ6U1MVXOaj8PK2l7WJ3RER9xtqwdhxkhw/edit?usp=sharing"",""กาญจนบุรี!J276"")"),100)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IFERROR(__xludf.DUMMYFUNCTION("IMPORTRANGE(""https://docs.google.com/spreadsheets/d/1SX6NBoVAgQJ6U1MVXOaj8PK2l7WJ3RER9xtqwdhxkhw/edit?usp=sharing"",""กาญจนบุรี!L277"")"),0)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IFERROR(__xludf.DUMMYFUNCTION("IMPORTRANGE(""https://docs.google.com/spreadsheets/d/1SX6NBoVAgQJ6U1MVXOaj8PK2l7WJ3RER9xtqwdhxkhw/edit?usp=sharing"",""กาญจนบุรี!M277"")"),0)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IFERROR(__xludf.DUMMYFUNCTION("IMPORTRANGE(""https://docs.google.com/spreadsheets/d/1SX6NBoVAgQJ6U1MVXOaj8PK2l7WJ3RER9xtqwdhxkhw/edit?usp=sharing"",""กาญจนบุรี!L278"")"),1028520)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IFERROR(__xludf.DUMMYFUNCTION("IMPORTRANGE(""https://docs.google.com/spreadsheets/d/1SX6NBoVAgQJ6U1MVXOaj8PK2l7WJ3RER9xtqwdhxkhw/edit?usp=sharing"",""กาญจนบุรี!M278"")"),621345.5)</f>
        <v>621345.5</v>
      </c>
      <c r="O383" s="165">
        <f t="shared" ca="1" si="109"/>
        <v>60.411610858320692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IFERROR(__xludf.DUMMYFUNCTION("IMPORTRANGE(""https://docs.google.com/spreadsheets/d/1SX6NBoVAgQJ6U1MVXOaj8PK2l7WJ3RER9xtqwdhxkhw/edit?usp=sharing"",""กาญจนบุรี!L279"")"),0)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IFERROR(__xludf.DUMMYFUNCTION("IMPORTRANGE(""https://docs.google.com/spreadsheets/d/1SX6NBoVAgQJ6U1MVXOaj8PK2l7WJ3RER9xtqwdhxkhw/edit?usp=sharing"",""กาญจนบุรี!M279"")"),0)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IFERROR(__xludf.DUMMYFUNCTION("IMPORTRANGE(""https://docs.google.com/spreadsheets/d/1SX6NBoVAgQJ6U1MVXOaj8PK2l7WJ3RER9xtqwdhxkhw/edit?usp=sharing"",""กาญจนบุรี!L280"")"),1028520)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IFERROR(__xludf.DUMMYFUNCTION("IMPORTRANGE(""https://docs.google.com/spreadsheets/d/1SX6NBoVAgQJ6U1MVXOaj8PK2l7WJ3RER9xtqwdhxkhw/edit?usp=sharing"",""กาญจนบุรี!M280"")"),621345.5)</f>
        <v>621345.5</v>
      </c>
      <c r="O385" s="169">
        <f t="shared" ca="1" si="109"/>
        <v>60.411610858320692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IFERROR(__xludf.DUMMYFUNCTION("IMPORTRANGE(""https://docs.google.com/spreadsheets/d/1SX6NBoVAgQJ6U1MVXOaj8PK2l7WJ3RER9xtqwdhxkhw/edit?usp=sharing"",""กาญจนบุรี!M282"")"),314000)</f>
        <v>314000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IFERROR(__xludf.DUMMYFUNCTION("IMPORTRANGE(""https://docs.google.com/spreadsheets/d/1SX6NBoVAgQJ6U1MVXOaj8PK2l7WJ3RER9xtqwdhxkhw/edit?usp=sharing"",""กาญจนบุรี!M283"")"),87276)</f>
        <v>87276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IFERROR(__xludf.DUMMYFUNCTION("IMPORTRANGE(""https://docs.google.com/spreadsheets/d/1SX6NBoVAgQJ6U1MVXOaj8PK2l7WJ3RER9xtqwdhxkhw/edit?usp=sharing"",""กาญจนบุรี!M284"")"),32294)</f>
        <v>32294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IFERROR(__xludf.DUMMYFUNCTION("IMPORTRANGE(""https://docs.google.com/spreadsheets/d/1SX6NBoVAgQJ6U1MVXOaj8PK2l7WJ3RER9xtqwdhxkhw/edit?usp=sharing"",""กาญจนบุรี!J286"")"),0)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IFERROR(__xludf.DUMMYFUNCTION("IMPORTRANGE(""https://docs.google.com/spreadsheets/d/1SX6NBoVAgQJ6U1MVXOaj8PK2l7WJ3RER9xtqwdhxkhw/edit?usp=sharing"",""กาญจนบุรี!J287"")"),1)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IFERROR(__xludf.DUMMYFUNCTION("IMPORTRANGE(""https://docs.google.com/spreadsheets/d/1SX6NBoVAgQJ6U1MVXOaj8PK2l7WJ3RER9xtqwdhxkhw/edit?usp=sharing"",""กาญจนบุรี!J288"")"),1)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IFERROR(__xludf.DUMMYFUNCTION("IMPORTRANGE(""https://docs.google.com/spreadsheets/d/1SX6NBoVAgQJ6U1MVXOaj8PK2l7WJ3RER9xtqwdhxkhw/edit?usp=sharing"",""กาญจนบุรี!J289"")"),1)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IFERROR(__xludf.DUMMYFUNCTION("IMPORTRANGE(""https://docs.google.com/spreadsheets/d/1SX6NBoVAgQJ6U1MVXOaj8PK2l7WJ3RER9xtqwdhxkhw/edit?usp=sharing"",""กาญจนบุรี!I291"")"),100)</f>
        <v>100</v>
      </c>
      <c r="J396" s="198">
        <f ca="1">IFERROR(__xludf.DUMMYFUNCTION("IMPORTRANGE(""https://docs.google.com/spreadsheets/d/1SX6NBoVAgQJ6U1MVXOaj8PK2l7WJ3RER9xtqwdhxkhw/edit?usp=sharing"",""กาญจนบุรี!J291"")"),100)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IFERROR(__xludf.DUMMYFUNCTION("IMPORTRANGE(""https://docs.google.com/spreadsheets/d/1SX6NBoVAgQJ6U1MVXOaj8PK2l7WJ3RER9xtqwdhxkhw/edit?usp=sharing"",""กาญจนบุรี!I292"")"),1000)</f>
        <v>1000</v>
      </c>
      <c r="J397" s="198">
        <f ca="1">IFERROR(__xludf.DUMMYFUNCTION("IMPORTRANGE(""https://docs.google.com/spreadsheets/d/1SX6NBoVAgQJ6U1MVXOaj8PK2l7WJ3RER9xtqwdhxkhw/edit?usp=sharing"",""กาญจนบุรี!J292"")"),1000)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IFERROR(__xludf.DUMMYFUNCTION("IMPORTRANGE(""https://docs.google.com/spreadsheets/d/1SX6NBoVAgQJ6U1MVXOaj8PK2l7WJ3RER9xtqwdhxkhw/edit?usp=sharing"",""กาญจนบุรี!I293"")"),100)</f>
        <v>100</v>
      </c>
      <c r="J398" s="198">
        <f ca="1">IFERROR(__xludf.DUMMYFUNCTION("IMPORTRANGE(""https://docs.google.com/spreadsheets/d/1SX6NBoVAgQJ6U1MVXOaj8PK2l7WJ3RER9xtqwdhxkhw/edit?usp=sharing"",""กาญจนบุรี!J293"")"),100)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IFERROR(__xludf.DUMMYFUNCTION("IMPORTRANGE(""https://docs.google.com/spreadsheets/d/1SX6NBoVAgQJ6U1MVXOaj8PK2l7WJ3RER9xtqwdhxkhw/edit?usp=sharing"",""กาญจนบุรี!J294"")"),0)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IFERROR(__xludf.DUMMYFUNCTION("IMPORTRANGE(""https://docs.google.com/spreadsheets/d/1SX6NBoVAgQJ6U1MVXOaj8PK2l7WJ3RER9xtqwdhxkhw/edit?usp=sharing"",""กาญจนบุรี!J295"")"),0)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IFERROR(__xludf.DUMMYFUNCTION("IMPORTRANGE(""https://docs.google.com/spreadsheets/d/1SX6NBoVAgQJ6U1MVXOaj8PK2l7WJ3RER9xtqwdhxkhw/edit?usp=sharing"",""กาญจนบุรี!I296"")"),144)</f>
        <v>144</v>
      </c>
      <c r="J401" s="371">
        <f ca="1">IFERROR(__xludf.DUMMYFUNCTION("IMPORTRANGE(""https://docs.google.com/spreadsheets/d/1SX6NBoVAgQJ6U1MVXOaj8PK2l7WJ3RER9xtqwdhxkhw/edit?usp=sharing"",""กาญจนบุรี!J296"")"),144)</f>
        <v>144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IFERROR(__xludf.DUMMYFUNCTION("IMPORTRANGE(""https://docs.google.com/spreadsheets/d/1SX6NBoVAgQJ6U1MVXOaj8PK2l7WJ3RER9xtqwdhxkhw/edit?usp=sharing"",""กาญจนบุรี!L296"")"),169190)</f>
        <v>169190</v>
      </c>
      <c r="M401" s="373"/>
      <c r="N401" s="373">
        <f ca="1">IFERROR(__xludf.DUMMYFUNCTION("IMPORTRANGE(""https://docs.google.com/spreadsheets/d/1SX6NBoVAgQJ6U1MVXOaj8PK2l7WJ3RER9xtqwdhxkhw/edit?usp=sharing"",""กาญจนบุรี!M296"")"),16440.32)</f>
        <v>16440.32</v>
      </c>
      <c r="O401" s="373">
        <f ca="1">+IF(L401&gt;0,N401*100/L401,0)</f>
        <v>9.7170754772740704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IFERROR(__xludf.DUMMYFUNCTION("IMPORTRANGE(""https://docs.google.com/spreadsheets/d/1SX6NBoVAgQJ6U1MVXOaj8PK2l7WJ3RER9xtqwdhxkhw/edit?usp=sharing"",""กาญจนบุรี!I297"")"),48)</f>
        <v>48</v>
      </c>
      <c r="J402" s="371">
        <f ca="1">IFERROR(__xludf.DUMMYFUNCTION("IMPORTRANGE(""https://docs.google.com/spreadsheets/d/1SX6NBoVAgQJ6U1MVXOaj8PK2l7WJ3RER9xtqwdhxkhw/edit?usp=sharing"",""กาญจนบุรี!J297"")"),48)</f>
        <v>48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IFERROR(__xludf.DUMMYFUNCTION("IMPORTRANGE(""https://docs.google.com/spreadsheets/d/1SX6NBoVAgQJ6U1MVXOaj8PK2l7WJ3RER9xtqwdhxkhw/edit?usp=sharing"",""กาญจนบุรี!L298"")"),0)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IFERROR(__xludf.DUMMYFUNCTION("IMPORTRANGE(""https://docs.google.com/spreadsheets/d/1SX6NBoVAgQJ6U1MVXOaj8PK2l7WJ3RER9xtqwdhxkhw/edit?usp=sharing"",""กาญจนบุรี!M298"")"),0)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IFERROR(__xludf.DUMMYFUNCTION("IMPORTRANGE(""https://docs.google.com/spreadsheets/d/1SX6NBoVAgQJ6U1MVXOaj8PK2l7WJ3RER9xtqwdhxkhw/edit?usp=sharing"",""กาญจนบุรี!L299"")"),169190)</f>
        <v>169190</v>
      </c>
      <c r="M404" s="165"/>
      <c r="N404" s="169">
        <f ca="1">IFERROR(__xludf.DUMMYFUNCTION("IMPORTRANGE(""https://docs.google.com/spreadsheets/d/1SX6NBoVAgQJ6U1MVXOaj8PK2l7WJ3RER9xtqwdhxkhw/edit?usp=sharing"",""กาญจนบุรี!M299"")"),16440.32)</f>
        <v>16440.32</v>
      </c>
      <c r="O404" s="169">
        <f t="shared" ca="1" si="112"/>
        <v>9.7170754772740704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IFERROR(__xludf.DUMMYFUNCTION("IMPORTRANGE(""https://docs.google.com/spreadsheets/d/1SX6NBoVAgQJ6U1MVXOaj8PK2l7WJ3RER9xtqwdhxkhw/edit?usp=sharing"",""กาญจนบุรี!L300"")"),0)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IFERROR(__xludf.DUMMYFUNCTION("IMPORTRANGE(""https://docs.google.com/spreadsheets/d/1SX6NBoVAgQJ6U1MVXOaj8PK2l7WJ3RER9xtqwdhxkhw/edit?usp=sharing"",""กาญจนบุรี!M300"")"),0)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IFERROR(__xludf.DUMMYFUNCTION("IMPORTRANGE(""https://docs.google.com/spreadsheets/d/1SX6NBoVAgQJ6U1MVXOaj8PK2l7WJ3RER9xtqwdhxkhw/edit?usp=sharing"",""กาญจนบุรี!L301"")"),169190)</f>
        <v>169190</v>
      </c>
      <c r="M406" s="169"/>
      <c r="N406" s="169">
        <f ca="1">IFERROR(__xludf.DUMMYFUNCTION("IMPORTRANGE(""https://docs.google.com/spreadsheets/d/1SX6NBoVAgQJ6U1MVXOaj8PK2l7WJ3RER9xtqwdhxkhw/edit?usp=sharing"",""กาญจนบุรี!M301"")"),16440.32)</f>
        <v>16440.32</v>
      </c>
      <c r="O406" s="169">
        <f t="shared" ca="1" si="112"/>
        <v>9.7170754772740704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IFERROR(__xludf.DUMMYFUNCTION("IMPORTRANGE(""https://docs.google.com/spreadsheets/d/1SX6NBoVAgQJ6U1MVXOaj8PK2l7WJ3RER9xtqwdhxkhw/edit?usp=sharing"",""กาญจนบุรี!M303"")"),0)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IFERROR(__xludf.DUMMYFUNCTION("IMPORTRANGE(""https://docs.google.com/spreadsheets/d/1SX6NBoVAgQJ6U1MVXOaj8PK2l7WJ3RER9xtqwdhxkhw/edit?usp=sharing"",""กาญจนบุรี!M304"")"),0)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IFERROR(__xludf.DUMMYFUNCTION("IMPORTRANGE(""https://docs.google.com/spreadsheets/d/1SX6NBoVAgQJ6U1MVXOaj8PK2l7WJ3RER9xtqwdhxkhw/edit?usp=sharing"",""กาญจนบุรี!M305"")"),3980)</f>
        <v>3980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IFERROR(__xludf.DUMMYFUNCTION("IMPORTRANGE(""https://docs.google.com/spreadsheets/d/1SX6NBoVAgQJ6U1MVXOaj8PK2l7WJ3RER9xtqwdhxkhw/edit?usp=sharing"",""กาญจนบุรี!J307"")"),0)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IFERROR(__xludf.DUMMYFUNCTION("IMPORTRANGE(""https://docs.google.com/spreadsheets/d/1SX6NBoVAgQJ6U1MVXOaj8PK2l7WJ3RER9xtqwdhxkhw/edit?usp=sharing"",""กาญจนบุรี!J308"")"),1)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IFERROR(__xludf.DUMMYFUNCTION("IMPORTRANGE(""https://docs.google.com/spreadsheets/d/1SX6NBoVAgQJ6U1MVXOaj8PK2l7WJ3RER9xtqwdhxkhw/edit?usp=sharing"",""กาญจนบุรี!J309"")"),1)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IFERROR(__xludf.DUMMYFUNCTION("IMPORTRANGE(""https://docs.google.com/spreadsheets/d/1SX6NBoVAgQJ6U1MVXOaj8PK2l7WJ3RER9xtqwdhxkhw/edit?usp=sharing"",""กาญจนบุรี!J310"")"),1)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IFERROR(__xludf.DUMMYFUNCTION("IMPORTRANGE(""https://docs.google.com/spreadsheets/d/1SX6NBoVAgQJ6U1MVXOaj8PK2l7WJ3RER9xtqwdhxkhw/edit?usp=sharing"",""กาญจนบุรี!I311"")"),48)</f>
        <v>48</v>
      </c>
      <c r="J416" s="201">
        <f ca="1">IFERROR(__xludf.DUMMYFUNCTION("IMPORTRANGE(""https://docs.google.com/spreadsheets/d/1SX6NBoVAgQJ6U1MVXOaj8PK2l7WJ3RER9xtqwdhxkhw/edit?usp=sharing"",""กาญจนบุรี!J311"")"),48)</f>
        <v>48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IFERROR(__xludf.DUMMYFUNCTION("IMPORTRANGE(""https://docs.google.com/spreadsheets/d/1SX6NBoVAgQJ6U1MVXOaj8PK2l7WJ3RER9xtqwdhxkhw/edit?usp=sharing"",""กาญจนบุรี!I312"")"),13)</f>
        <v>13</v>
      </c>
      <c r="J417" s="392">
        <f ca="1">IFERROR(__xludf.DUMMYFUNCTION("IMPORTRANGE(""https://docs.google.com/spreadsheets/d/1SX6NBoVAgQJ6U1MVXOaj8PK2l7WJ3RER9xtqwdhxkhw/edit?usp=sharing"",""กาญจนบุรี!J312"")"),13)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IFERROR(__xludf.DUMMYFUNCTION("IMPORTRANGE(""https://docs.google.com/spreadsheets/d/1SX6NBoVAgQJ6U1MVXOaj8PK2l7WJ3RER9xtqwdhxkhw/edit?usp=sharing"",""กาญจนบุรี!I313"")"),39)</f>
        <v>39</v>
      </c>
      <c r="J418" s="393">
        <f ca="1">IFERROR(__xludf.DUMMYFUNCTION("IMPORTRANGE(""https://docs.google.com/spreadsheets/d/1SX6NBoVAgQJ6U1MVXOaj8PK2l7WJ3RER9xtqwdhxkhw/edit?usp=sharing"",""กาญจนบุรี!J313"")"),39)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IFERROR(__xludf.DUMMYFUNCTION("IMPORTRANGE(""https://docs.google.com/spreadsheets/d/1SX6NBoVAgQJ6U1MVXOaj8PK2l7WJ3RER9xtqwdhxkhw/edit?usp=sharing"",""กาญจนบุรี!I314"")"),13)</f>
        <v>13</v>
      </c>
      <c r="J419" s="394">
        <f ca="1">IFERROR(__xludf.DUMMYFUNCTION("IMPORTRANGE(""https://docs.google.com/spreadsheets/d/1SX6NBoVAgQJ6U1MVXOaj8PK2l7WJ3RER9xtqwdhxkhw/edit?usp=sharing"",""กาญจนบุรี!J314"")"),13)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IFERROR(__xludf.DUMMYFUNCTION("IMPORTRANGE(""https://docs.google.com/spreadsheets/d/1SX6NBoVAgQJ6U1MVXOaj8PK2l7WJ3RER9xtqwdhxkhw/edit?usp=sharing"",""กาญจนบุรี!I315"")"),13)</f>
        <v>13</v>
      </c>
      <c r="J420" s="394">
        <f ca="1">IFERROR(__xludf.DUMMYFUNCTION("IMPORTRANGE(""https://docs.google.com/spreadsheets/d/1SX6NBoVAgQJ6U1MVXOaj8PK2l7WJ3RER9xtqwdhxkhw/edit?usp=sharing"",""กาญจนบุรี!J315"")"),13)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IFERROR(__xludf.DUMMYFUNCTION("IMPORTRANGE(""https://docs.google.com/spreadsheets/d/1SX6NBoVAgQJ6U1MVXOaj8PK2l7WJ3RER9xtqwdhxkhw/edit?usp=sharing"",""กาญจนบุรี!I316"")"),25)</f>
        <v>25</v>
      </c>
      <c r="J421" s="392">
        <f ca="1">IFERROR(__xludf.DUMMYFUNCTION("IMPORTRANGE(""https://docs.google.com/spreadsheets/d/1SX6NBoVAgQJ6U1MVXOaj8PK2l7WJ3RER9xtqwdhxkhw/edit?usp=sharing"",""กาญจนบุรี!J316"")"),25)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IFERROR(__xludf.DUMMYFUNCTION("IMPORTRANGE(""https://docs.google.com/spreadsheets/d/1SX6NBoVAgQJ6U1MVXOaj8PK2l7WJ3RER9xtqwdhxkhw/edit?usp=sharing"",""กาญจนบุรี!I317"")"),75)</f>
        <v>75</v>
      </c>
      <c r="J422" s="393">
        <f ca="1">IFERROR(__xludf.DUMMYFUNCTION("IMPORTRANGE(""https://docs.google.com/spreadsheets/d/1SX6NBoVAgQJ6U1MVXOaj8PK2l7WJ3RER9xtqwdhxkhw/edit?usp=sharing"",""กาญจนบุรี!J317"")"),75)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IFERROR(__xludf.DUMMYFUNCTION("IMPORTRANGE(""https://docs.google.com/spreadsheets/d/1SX6NBoVAgQJ6U1MVXOaj8PK2l7WJ3RER9xtqwdhxkhw/edit?usp=sharing"",""กาญจนบุรี!I318"")"),25)</f>
        <v>25</v>
      </c>
      <c r="J423" s="394">
        <f ca="1">IFERROR(__xludf.DUMMYFUNCTION("IMPORTRANGE(""https://docs.google.com/spreadsheets/d/1SX6NBoVAgQJ6U1MVXOaj8PK2l7WJ3RER9xtqwdhxkhw/edit?usp=sharing"",""กาญจนบุรี!J318"")"),25)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IFERROR(__xludf.DUMMYFUNCTION("IMPORTRANGE(""https://docs.google.com/spreadsheets/d/1SX6NBoVAgQJ6U1MVXOaj8PK2l7WJ3RER9xtqwdhxkhw/edit?usp=sharing"",""กาญจนบุรี!I319"")"),25)</f>
        <v>25</v>
      </c>
      <c r="J424" s="394">
        <f ca="1">IFERROR(__xludf.DUMMYFUNCTION("IMPORTRANGE(""https://docs.google.com/spreadsheets/d/1SX6NBoVAgQJ6U1MVXOaj8PK2l7WJ3RER9xtqwdhxkhw/edit?usp=sharing"",""กาญจนบุรี!J319"")"),25)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IFERROR(__xludf.DUMMYFUNCTION("IMPORTRANGE(""https://docs.google.com/spreadsheets/d/1SX6NBoVAgQJ6U1MVXOaj8PK2l7WJ3RER9xtqwdhxkhw/edit?usp=sharing"",""กาญจนบุรี!I320"")"),25)</f>
        <v>25</v>
      </c>
      <c r="J425" s="394">
        <f ca="1">IFERROR(__xludf.DUMMYFUNCTION("IMPORTRANGE(""https://docs.google.com/spreadsheets/d/1SX6NBoVAgQJ6U1MVXOaj8PK2l7WJ3RER9xtqwdhxkhw/edit?usp=sharing"",""กาญจนบุรี!J320"")"),25)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IFERROR(__xludf.DUMMYFUNCTION("IMPORTRANGE(""https://docs.google.com/spreadsheets/d/1SX6NBoVAgQJ6U1MVXOaj8PK2l7WJ3RER9xtqwdhxkhw/edit?usp=sharing"",""กาญจนบุรี!I321"")"),10)</f>
        <v>10</v>
      </c>
      <c r="J426" s="392">
        <f ca="1">IFERROR(__xludf.DUMMYFUNCTION("IMPORTRANGE(""https://docs.google.com/spreadsheets/d/1SX6NBoVAgQJ6U1MVXOaj8PK2l7WJ3RER9xtqwdhxkhw/edit?usp=sharing"",""กาญจนบุรี!J321"")"),10)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IFERROR(__xludf.DUMMYFUNCTION("IMPORTRANGE(""https://docs.google.com/spreadsheets/d/1SX6NBoVAgQJ6U1MVXOaj8PK2l7WJ3RER9xtqwdhxkhw/edit?usp=sharing"",""กาญจนบุรี!I322"")"),30)</f>
        <v>30</v>
      </c>
      <c r="J427" s="393">
        <f ca="1">IFERROR(__xludf.DUMMYFUNCTION("IMPORTRANGE(""https://docs.google.com/spreadsheets/d/1SX6NBoVAgQJ6U1MVXOaj8PK2l7WJ3RER9xtqwdhxkhw/edit?usp=sharing"",""กาญจนบุรี!J322"")"),30)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IFERROR(__xludf.DUMMYFUNCTION("IMPORTRANGE(""https://docs.google.com/spreadsheets/d/1SX6NBoVAgQJ6U1MVXOaj8PK2l7WJ3RER9xtqwdhxkhw/edit?usp=sharing"",""กาญจนบุรี!I323"")"),10)</f>
        <v>10</v>
      </c>
      <c r="J428" s="394">
        <f ca="1">IFERROR(__xludf.DUMMYFUNCTION("IMPORTRANGE(""https://docs.google.com/spreadsheets/d/1SX6NBoVAgQJ6U1MVXOaj8PK2l7WJ3RER9xtqwdhxkhw/edit?usp=sharing"",""กาญจนบุรี!J323"")"),10)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IFERROR(__xludf.DUMMYFUNCTION("IMPORTRANGE(""https://docs.google.com/spreadsheets/d/1SX6NBoVAgQJ6U1MVXOaj8PK2l7WJ3RER9xtqwdhxkhw/edit?usp=sharing"",""กาญจนบุรี!I324"")"),10)</f>
        <v>10</v>
      </c>
      <c r="J429" s="394">
        <f ca="1">IFERROR(__xludf.DUMMYFUNCTION("IMPORTRANGE(""https://docs.google.com/spreadsheets/d/1SX6NBoVAgQJ6U1MVXOaj8PK2l7WJ3RER9xtqwdhxkhw/edit?usp=sharing"",""กาญจนบุรี!J324"")"),10)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IFERROR(__xludf.DUMMYFUNCTION("IMPORTRANGE(""https://docs.google.com/spreadsheets/d/1SX6NBoVAgQJ6U1MVXOaj8PK2l7WJ3RER9xtqwdhxkhw/edit?usp=sharing"",""กาญจนบุรี!I325"")"),38)</f>
        <v>38</v>
      </c>
      <c r="J430" s="392">
        <f ca="1">IFERROR(__xludf.DUMMYFUNCTION("IMPORTRANGE(""https://docs.google.com/spreadsheets/d/1SX6NBoVAgQJ6U1MVXOaj8PK2l7WJ3RER9xtqwdhxkhw/edit?usp=sharing"",""กาญจนบุรี!J325"")"),0)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IFERROR(__xludf.DUMMYFUNCTION("IMPORTRANGE(""https://docs.google.com/spreadsheets/d/1SX6NBoVAgQJ6U1MVXOaj8PK2l7WJ3RER9xtqwdhxkhw/edit?usp=sharing"",""กาญจนบุรี!I326"")"),13)</f>
        <v>13</v>
      </c>
      <c r="J431" s="394">
        <f ca="1">IFERROR(__xludf.DUMMYFUNCTION("IMPORTRANGE(""https://docs.google.com/spreadsheets/d/1SX6NBoVAgQJ6U1MVXOaj8PK2l7WJ3RER9xtqwdhxkhw/edit?usp=sharing"",""กาญจนบุรี!J326"")"),0)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IFERROR(__xludf.DUMMYFUNCTION("IMPORTRANGE(""https://docs.google.com/spreadsheets/d/1SX6NBoVAgQJ6U1MVXOaj8PK2l7WJ3RER9xtqwdhxkhw/edit?usp=sharing"",""กาญจนบุรี!I327"")"),25)</f>
        <v>25</v>
      </c>
      <c r="J432" s="394">
        <f ca="1">IFERROR(__xludf.DUMMYFUNCTION("IMPORTRANGE(""https://docs.google.com/spreadsheets/d/1SX6NBoVAgQJ6U1MVXOaj8PK2l7WJ3RER9xtqwdhxkhw/edit?usp=sharing"",""กาญจนบุรี!J327"")"),0)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IFERROR(__xludf.DUMMYFUNCTION("IMPORTRANGE(""https://docs.google.com/spreadsheets/d/1SX6NBoVAgQJ6U1MVXOaj8PK2l7WJ3RER9xtqwdhxkhw/edit?usp=sharing"",""กาญจนบุรี!J328"")"),0)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IFERROR(__xludf.DUMMYFUNCTION("IMPORTRANGE(""https://docs.google.com/spreadsheets/d/1SX6NBoVAgQJ6U1MVXOaj8PK2l7WJ3RER9xtqwdhxkhw/edit?usp=sharing"",""กาญจนบุรี!J329"")"),0)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IFERROR(__xludf.DUMMYFUNCTION("IMPORTRANGE(""https://docs.google.com/spreadsheets/d/1SX6NBoVAgQJ6U1MVXOaj8PK2l7WJ3RER9xtqwdhxkhw/edit?usp=sharing"",""กาญจนบุรี!I330"")"),40)</f>
        <v>40</v>
      </c>
      <c r="J435" s="410">
        <f ca="1">IFERROR(__xludf.DUMMYFUNCTION("IMPORTRANGE(""https://docs.google.com/spreadsheets/d/1SX6NBoVAgQJ6U1MVXOaj8PK2l7WJ3RER9xtqwdhxkhw/edit?usp=sharing"",""กาญจนบุรี!J330"")"),40)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IFERROR(__xludf.DUMMYFUNCTION("IMPORTRANGE(""https://docs.google.com/spreadsheets/d/1SX6NBoVAgQJ6U1MVXOaj8PK2l7WJ3RER9xtqwdhxkhw/edit?usp=sharing"",""กาญจนบุรี!L330"")"),144000)</f>
        <v>144000</v>
      </c>
      <c r="M435" s="412"/>
      <c r="N435" s="412">
        <f ca="1">IFERROR(__xludf.DUMMYFUNCTION("IMPORTRANGE(""https://docs.google.com/spreadsheets/d/1SX6NBoVAgQJ6U1MVXOaj8PK2l7WJ3RER9xtqwdhxkhw/edit?usp=sharing"",""กาญจนบุรี!M330"")"),70616.29)</f>
        <v>70616.289999999994</v>
      </c>
      <c r="O435" s="412">
        <f t="shared" ref="O435:O439" ca="1" si="114">+IF(L435&gt;0,N435*100/L435,0)</f>
        <v>49.039090277777774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IFERROR(__xludf.DUMMYFUNCTION("IMPORTRANGE(""https://docs.google.com/spreadsheets/d/1SX6NBoVAgQJ6U1MVXOaj8PK2l7WJ3RER9xtqwdhxkhw/edit?usp=sharing"",""กาญจนบุรี!L331"")"),0)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IFERROR(__xludf.DUMMYFUNCTION("IMPORTRANGE(""https://docs.google.com/spreadsheets/d/1SX6NBoVAgQJ6U1MVXOaj8PK2l7WJ3RER9xtqwdhxkhw/edit?usp=sharing"",""กาญจนบุรี!M331"")"),0)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IFERROR(__xludf.DUMMYFUNCTION("IMPORTRANGE(""https://docs.google.com/spreadsheets/d/1SX6NBoVAgQJ6U1MVXOaj8PK2l7WJ3RER9xtqwdhxkhw/edit?usp=sharing"",""กาญจนบุรี!L332"")"),144000)</f>
        <v>144000</v>
      </c>
      <c r="M437" s="165"/>
      <c r="N437" s="169">
        <f ca="1">IFERROR(__xludf.DUMMYFUNCTION("IMPORTRANGE(""https://docs.google.com/spreadsheets/d/1SX6NBoVAgQJ6U1MVXOaj8PK2l7WJ3RER9xtqwdhxkhw/edit?usp=sharing"",""กาญจนบุรี!M332"")"),70616.29)</f>
        <v>70616.289999999994</v>
      </c>
      <c r="O437" s="169">
        <f t="shared" ca="1" si="114"/>
        <v>49.039090277777774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IFERROR(__xludf.DUMMYFUNCTION("IMPORTRANGE(""https://docs.google.com/spreadsheets/d/1SX6NBoVAgQJ6U1MVXOaj8PK2l7WJ3RER9xtqwdhxkhw/edit?usp=sharing"",""กาญจนบุรี!L333"")"),0)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IFERROR(__xludf.DUMMYFUNCTION("IMPORTRANGE(""https://docs.google.com/spreadsheets/d/1SX6NBoVAgQJ6U1MVXOaj8PK2l7WJ3RER9xtqwdhxkhw/edit?usp=sharing"",""กาญจนบุรี!M333"")"),0)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IFERROR(__xludf.DUMMYFUNCTION("IMPORTRANGE(""https://docs.google.com/spreadsheets/d/1SX6NBoVAgQJ6U1MVXOaj8PK2l7WJ3RER9xtqwdhxkhw/edit?usp=sharing"",""กาญจนบุรี!L334"")"),144000)</f>
        <v>144000</v>
      </c>
      <c r="M439" s="169"/>
      <c r="N439" s="169">
        <f ca="1">IFERROR(__xludf.DUMMYFUNCTION("IMPORTRANGE(""https://docs.google.com/spreadsheets/d/1SX6NBoVAgQJ6U1MVXOaj8PK2l7WJ3RER9xtqwdhxkhw/edit?usp=sharing"",""กาญจนบุรี!M334"")"),70616.29)</f>
        <v>70616.289999999994</v>
      </c>
      <c r="O439" s="169">
        <f t="shared" ca="1" si="114"/>
        <v>49.039090277777774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IFERROR(__xludf.DUMMYFUNCTION("IMPORTRANGE(""https://docs.google.com/spreadsheets/d/1SX6NBoVAgQJ6U1MVXOaj8PK2l7WJ3RER9xtqwdhxkhw/edit?usp=sharing"",""กาญจนบุรี!M336"")"),0)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IFERROR(__xludf.DUMMYFUNCTION("IMPORTRANGE(""https://docs.google.com/spreadsheets/d/1SX6NBoVAgQJ6U1MVXOaj8PK2l7WJ3RER9xtqwdhxkhw/edit?usp=sharing"",""กาญจนบุรี!M337"")"),0)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IFERROR(__xludf.DUMMYFUNCTION("IMPORTRANGE(""https://docs.google.com/spreadsheets/d/1SX6NBoVAgQJ6U1MVXOaj8PK2l7WJ3RER9xtqwdhxkhw/edit?usp=sharing"",""กาญจนบุรี!M338"")"),8915)</f>
        <v>8915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IFERROR(__xludf.DUMMYFUNCTION("IMPORTRANGE(""https://docs.google.com/spreadsheets/d/1SX6NBoVAgQJ6U1MVXOaj8PK2l7WJ3RER9xtqwdhxkhw/edit?usp=sharing"",""กาญจนบุรี!J340"")"),0)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IFERROR(__xludf.DUMMYFUNCTION("IMPORTRANGE(""https://docs.google.com/spreadsheets/d/1SX6NBoVAgQJ6U1MVXOaj8PK2l7WJ3RER9xtqwdhxkhw/edit?usp=sharing"",""กาญจนบุรี!J341"")"),1)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IFERROR(__xludf.DUMMYFUNCTION("IMPORTRANGE(""https://docs.google.com/spreadsheets/d/1SX6NBoVAgQJ6U1MVXOaj8PK2l7WJ3RER9xtqwdhxkhw/edit?usp=sharing"",""กาญจนบุรี!J342"")"),1)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IFERROR(__xludf.DUMMYFUNCTION("IMPORTRANGE(""https://docs.google.com/spreadsheets/d/1SX6NBoVAgQJ6U1MVXOaj8PK2l7WJ3RER9xtqwdhxkhw/edit?usp=sharing"",""กาญจนบุรี!J343"")"),1)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IFERROR(__xludf.DUMMYFUNCTION("IMPORTRANGE(""https://docs.google.com/spreadsheets/d/1SX6NBoVAgQJ6U1MVXOaj8PK2l7WJ3RER9xtqwdhxkhw/edit?usp=sharing"",""กาญจนบุรี!I344"")"),40)</f>
        <v>40</v>
      </c>
      <c r="J449" s="201">
        <f ca="1">IFERROR(__xludf.DUMMYFUNCTION("IMPORTRANGE(""https://docs.google.com/spreadsheets/d/1SX6NBoVAgQJ6U1MVXOaj8PK2l7WJ3RER9xtqwdhxkhw/edit?usp=sharing"",""กาญจนบุรี!J344"")"),40)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IFERROR(__xludf.DUMMYFUNCTION("IMPORTRANGE(""https://docs.google.com/spreadsheets/d/1SX6NBoVAgQJ6U1MVXOaj8PK2l7WJ3RER9xtqwdhxkhw/edit?usp=sharing"",""กาญจนบุรี!I345"")"),40)</f>
        <v>40</v>
      </c>
      <c r="J450" s="189">
        <f ca="1">IFERROR(__xludf.DUMMYFUNCTION("IMPORTRANGE(""https://docs.google.com/spreadsheets/d/1SX6NBoVAgQJ6U1MVXOaj8PK2l7WJ3RER9xtqwdhxkhw/edit?usp=sharing"",""กาญจนบุรี!J345"")"),40)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IFERROR(__xludf.DUMMYFUNCTION("IMPORTRANGE(""https://docs.google.com/spreadsheets/d/1SX6NBoVAgQJ6U1MVXOaj8PK2l7WJ3RER9xtqwdhxkhw/edit?usp=sharing"",""กาญจนบุรี!I346"")"),0)</f>
        <v>0</v>
      </c>
      <c r="J451" s="188">
        <f ca="1">IFERROR(__xludf.DUMMYFUNCTION("IMPORTRANGE(""https://docs.google.com/spreadsheets/d/1SX6NBoVAgQJ6U1MVXOaj8PK2l7WJ3RER9xtqwdhxkhw/edit?usp=sharing"",""กาญจนบุรี!J346"")"),0)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IFERROR(__xludf.DUMMYFUNCTION("IMPORTRANGE(""https://docs.google.com/spreadsheets/d/1SX6NBoVAgQJ6U1MVXOaj8PK2l7WJ3RER9xtqwdhxkhw/edit?usp=sharing"",""กาญจนบุรี!I347"")"),0)</f>
        <v>0</v>
      </c>
      <c r="J452" s="188">
        <f ca="1">IFERROR(__xludf.DUMMYFUNCTION("IMPORTRANGE(""https://docs.google.com/spreadsheets/d/1SX6NBoVAgQJ6U1MVXOaj8PK2l7WJ3RER9xtqwdhxkhw/edit?usp=sharing"",""กาญจนบุรี!J347"")"),0)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IFERROR(__xludf.DUMMYFUNCTION("IMPORTRANGE(""https://docs.google.com/spreadsheets/d/1SX6NBoVAgQJ6U1MVXOaj8PK2l7WJ3RER9xtqwdhxkhw/edit?usp=sharing"",""กาญจนบุรี!J348"")"),0)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IFERROR(__xludf.DUMMYFUNCTION("IMPORTRANGE(""https://docs.google.com/spreadsheets/d/1SX6NBoVAgQJ6U1MVXOaj8PK2l7WJ3RER9xtqwdhxkhw/edit?usp=sharing"",""กาญจนบุรี!J349"")"),0)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IFERROR(__xludf.DUMMYFUNCTION("IMPORTRANGE(""https://docs.google.com/spreadsheets/d/1SX6NBoVAgQJ6U1MVXOaj8PK2l7WJ3RER9xtqwdhxkhw/edit?usp=sharing"",""กาญจนบุรี!I350"")"),186125)</f>
        <v>186125</v>
      </c>
      <c r="J455" s="371">
        <f ca="1">IFERROR(__xludf.DUMMYFUNCTION("IMPORTRANGE(""https://docs.google.com/spreadsheets/d/1SX6NBoVAgQJ6U1MVXOaj8PK2l7WJ3RER9xtqwdhxkhw/edit?usp=sharing"",""กาญจนบุรี!J350"")"),0)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IFERROR(__xludf.DUMMYFUNCTION("IMPORTRANGE(""https://docs.google.com/spreadsheets/d/1SX6NBoVAgQJ6U1MVXOaj8PK2l7WJ3RER9xtqwdhxkhw/edit?usp=sharing"",""กาญจนบุรี!L350"")"),1117828)</f>
        <v>1117828</v>
      </c>
      <c r="M455" s="373"/>
      <c r="N455" s="373">
        <f ca="1">IFERROR(__xludf.DUMMYFUNCTION("IMPORTRANGE(""https://docs.google.com/spreadsheets/d/1SX6NBoVAgQJ6U1MVXOaj8PK2l7WJ3RER9xtqwdhxkhw/edit?usp=sharing"",""กาญจนบุรี!M350"")"),171373.36)</f>
        <v>171373.36</v>
      </c>
      <c r="O455" s="373">
        <f t="shared" ref="O455:O459" ca="1" si="116">+IF(L455&gt;0,N455*100/L455,0)</f>
        <v>15.330923898846692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IFERROR(__xludf.DUMMYFUNCTION("IMPORTRANGE(""https://docs.google.com/spreadsheets/d/1SX6NBoVAgQJ6U1MVXOaj8PK2l7WJ3RER9xtqwdhxkhw/edit?usp=sharing"",""กาญจนบุรี!L351"")"),0)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IFERROR(__xludf.DUMMYFUNCTION("IMPORTRANGE(""https://docs.google.com/spreadsheets/d/1SX6NBoVAgQJ6U1MVXOaj8PK2l7WJ3RER9xtqwdhxkhw/edit?usp=sharing"",""กาญจนบุรี!M351"")"),0)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IFERROR(__xludf.DUMMYFUNCTION("IMPORTRANGE(""https://docs.google.com/spreadsheets/d/1SX6NBoVAgQJ6U1MVXOaj8PK2l7WJ3RER9xtqwdhxkhw/edit?usp=sharing"",""กาญจนบุรี!L352"")"),1117828)</f>
        <v>1117828</v>
      </c>
      <c r="M457" s="165"/>
      <c r="N457" s="169">
        <f ca="1">IFERROR(__xludf.DUMMYFUNCTION("IMPORTRANGE(""https://docs.google.com/spreadsheets/d/1SX6NBoVAgQJ6U1MVXOaj8PK2l7WJ3RER9xtqwdhxkhw/edit?usp=sharing"",""กาญจนบุรี!M352"")"),171373.36)</f>
        <v>171373.36</v>
      </c>
      <c r="O457" s="169">
        <f t="shared" ca="1" si="116"/>
        <v>15.330923898846692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IFERROR(__xludf.DUMMYFUNCTION("IMPORTRANGE(""https://docs.google.com/spreadsheets/d/1SX6NBoVAgQJ6U1MVXOaj8PK2l7WJ3RER9xtqwdhxkhw/edit?usp=sharing"",""กาญจนบุรี!L353"")"),0)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IFERROR(__xludf.DUMMYFUNCTION("IMPORTRANGE(""https://docs.google.com/spreadsheets/d/1SX6NBoVAgQJ6U1MVXOaj8PK2l7WJ3RER9xtqwdhxkhw/edit?usp=sharing"",""กาญจนบุรี!M353"")"),0)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IFERROR(__xludf.DUMMYFUNCTION("IMPORTRANGE(""https://docs.google.com/spreadsheets/d/1SX6NBoVAgQJ6U1MVXOaj8PK2l7WJ3RER9xtqwdhxkhw/edit?usp=sharing"",""กาญจนบุรี!L354"")"),1117828)</f>
        <v>1117828</v>
      </c>
      <c r="M459" s="169"/>
      <c r="N459" s="169">
        <f ca="1">IFERROR(__xludf.DUMMYFUNCTION("IMPORTRANGE(""https://docs.google.com/spreadsheets/d/1SX6NBoVAgQJ6U1MVXOaj8PK2l7WJ3RER9xtqwdhxkhw/edit?usp=sharing"",""กาญจนบุรี!M354"")"),171373.36)</f>
        <v>171373.36</v>
      </c>
      <c r="O459" s="169">
        <f t="shared" ca="1" si="116"/>
        <v>15.330923898846692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IFERROR(__xludf.DUMMYFUNCTION("IMPORTRANGE(""https://docs.google.com/spreadsheets/d/1SX6NBoVAgQJ6U1MVXOaj8PK2l7WJ3RER9xtqwdhxkhw/edit?usp=sharing"",""กาญจนบุรี!M355"")"),0)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IFERROR(__xludf.DUMMYFUNCTION("IMPORTRANGE(""https://docs.google.com/spreadsheets/d/1SX6NBoVAgQJ6U1MVXOaj8PK2l7WJ3RER9xtqwdhxkhw/edit?usp=sharing"",""กาญจนบุรี!M356"")"),0)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IFERROR(__xludf.DUMMYFUNCTION("IMPORTRANGE(""https://docs.google.com/spreadsheets/d/1SX6NBoVAgQJ6U1MVXOaj8PK2l7WJ3RER9xtqwdhxkhw/edit?usp=sharing"",""กาญจนบุรี!M357"")"),76276)</f>
        <v>76276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IFERROR(__xludf.DUMMYFUNCTION("IMPORTRANGE(""https://docs.google.com/spreadsheets/d/1SX6NBoVAgQJ6U1MVXOaj8PK2l7WJ3RER9xtqwdhxkhw/edit?usp=sharing"",""กาญจนบุรี!M358"")"),95097.36)</f>
        <v>95097.36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IFERROR(__xludf.DUMMYFUNCTION("IMPORTRANGE(""https://docs.google.com/spreadsheets/d/1SX6NBoVAgQJ6U1MVXOaj8PK2l7WJ3RER9xtqwdhxkhw/edit?usp=sharing"",""กาญจนบุรี!I359"")"),186125)</f>
        <v>186125</v>
      </c>
      <c r="J464" s="268">
        <f ca="1">IFERROR(__xludf.DUMMYFUNCTION("IMPORTRANGE(""https://docs.google.com/spreadsheets/d/1SX6NBoVAgQJ6U1MVXOaj8PK2l7WJ3RER9xtqwdhxkhw/edit?usp=sharing"",""กาญจนบุรี!J359"")"),0)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IFERROR(__xludf.DUMMYFUNCTION("IMPORTRANGE(""https://docs.google.com/spreadsheets/d/1SX6NBoVAgQJ6U1MVXOaj8PK2l7WJ3RER9xtqwdhxkhw/edit?usp=sharing"",""กาญจนบุรี!I360"")"),186125)</f>
        <v>186125</v>
      </c>
      <c r="J465" s="420">
        <f ca="1">IFERROR(__xludf.DUMMYFUNCTION("IMPORTRANGE(""https://docs.google.com/spreadsheets/d/1SX6NBoVAgQJ6U1MVXOaj8PK2l7WJ3RER9xtqwdhxkhw/edit?usp=sharing"",""กาญจนบุรี!J360"")"),186124)</f>
        <v>186124</v>
      </c>
      <c r="K465" s="202">
        <f t="shared" ca="1" si="117"/>
        <v>99.999462726662188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IFERROR(__xludf.DUMMYFUNCTION("IMPORTRANGE(""https://docs.google.com/spreadsheets/d/1SX6NBoVAgQJ6U1MVXOaj8PK2l7WJ3RER9xtqwdhxkhw/edit?usp=sharing"",""กาญจนบุรี!I361"")"),13419)</f>
        <v>13419</v>
      </c>
      <c r="J466" s="420">
        <f ca="1">IFERROR(__xludf.DUMMYFUNCTION("IMPORTRANGE(""https://docs.google.com/spreadsheets/d/1SX6NBoVAgQJ6U1MVXOaj8PK2l7WJ3RER9xtqwdhxkhw/edit?usp=sharing"",""กาญจนบุรี!J361"")"),13419)</f>
        <v>13419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IFERROR(__xludf.DUMMYFUNCTION("IMPORTRANGE(""https://docs.google.com/spreadsheets/d/1SX6NBoVAgQJ6U1MVXOaj8PK2l7WJ3RER9xtqwdhxkhw/edit?usp=sharing"",""กาญจนบุรี!I362"")"),0)</f>
        <v>0</v>
      </c>
      <c r="J467" s="189">
        <f ca="1">IFERROR(__xludf.DUMMYFUNCTION("IMPORTRANGE(""https://docs.google.com/spreadsheets/d/1SX6NBoVAgQJ6U1MVXOaj8PK2l7WJ3RER9xtqwdhxkhw/edit?usp=sharing"",""กาญจนบุรี!J362"")"),144509)</f>
        <v>144509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IFERROR(__xludf.DUMMYFUNCTION("IMPORTRANGE(""https://docs.google.com/spreadsheets/d/1SX6NBoVAgQJ6U1MVXOaj8PK2l7WJ3RER9xtqwdhxkhw/edit?usp=sharing"",""กาญจนบุรี!I363"")"),0)</f>
        <v>0</v>
      </c>
      <c r="J468" s="189">
        <f ca="1">IFERROR(__xludf.DUMMYFUNCTION("IMPORTRANGE(""https://docs.google.com/spreadsheets/d/1SX6NBoVAgQJ6U1MVXOaj8PK2l7WJ3RER9xtqwdhxkhw/edit?usp=sharing"",""กาญจนบุรี!J363"")"),10866)</f>
        <v>10866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IFERROR(__xludf.DUMMYFUNCTION("IMPORTRANGE(""https://docs.google.com/spreadsheets/d/1SX6NBoVAgQJ6U1MVXOaj8PK2l7WJ3RER9xtqwdhxkhw/edit?usp=sharing"",""กาญจนบุรี!I364"")"),0)</f>
        <v>0</v>
      </c>
      <c r="J469" s="189">
        <f ca="1">IFERROR(__xludf.DUMMYFUNCTION("IMPORTRANGE(""https://docs.google.com/spreadsheets/d/1SX6NBoVAgQJ6U1MVXOaj8PK2l7WJ3RER9xtqwdhxkhw/edit?usp=sharing"",""กาญจนบุรี!J364"")"),36395)</f>
        <v>36395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IFERROR(__xludf.DUMMYFUNCTION("IMPORTRANGE(""https://docs.google.com/spreadsheets/d/1SX6NBoVAgQJ6U1MVXOaj8PK2l7WJ3RER9xtqwdhxkhw/edit?usp=sharing"",""กาญจนบุรี!I365"")"),0)</f>
        <v>0</v>
      </c>
      <c r="J470" s="189">
        <f ca="1">IFERROR(__xludf.DUMMYFUNCTION("IMPORTRANGE(""https://docs.google.com/spreadsheets/d/1SX6NBoVAgQJ6U1MVXOaj8PK2l7WJ3RER9xtqwdhxkhw/edit?usp=sharing"",""กาญจนบุรี!J365"")"),2185)</f>
        <v>2185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IFERROR(__xludf.DUMMYFUNCTION("IMPORTRANGE(""https://docs.google.com/spreadsheets/d/1SX6NBoVAgQJ6U1MVXOaj8PK2l7WJ3RER9xtqwdhxkhw/edit?usp=sharing"",""กาญจนบุรี!I366"")"),0)</f>
        <v>0</v>
      </c>
      <c r="J471" s="189">
        <f ca="1">IFERROR(__xludf.DUMMYFUNCTION("IMPORTRANGE(""https://docs.google.com/spreadsheets/d/1SX6NBoVAgQJ6U1MVXOaj8PK2l7WJ3RER9xtqwdhxkhw/edit?usp=sharing"",""กาญจนบุรี!J366"")"),5220)</f>
        <v>5220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IFERROR(__xludf.DUMMYFUNCTION("IMPORTRANGE(""https://docs.google.com/spreadsheets/d/1SX6NBoVAgQJ6U1MVXOaj8PK2l7WJ3RER9xtqwdhxkhw/edit?usp=sharing"",""กาญจนบุรี!I367"")"),0)</f>
        <v>0</v>
      </c>
      <c r="J472" s="189">
        <f ca="1">IFERROR(__xludf.DUMMYFUNCTION("IMPORTRANGE(""https://docs.google.com/spreadsheets/d/1SX6NBoVAgQJ6U1MVXOaj8PK2l7WJ3RER9xtqwdhxkhw/edit?usp=sharing"",""กาญจนบุรี!J367"")"),368)</f>
        <v>368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IFERROR(__xludf.DUMMYFUNCTION("IMPORTRANGE(""https://docs.google.com/spreadsheets/d/1SX6NBoVAgQJ6U1MVXOaj8PK2l7WJ3RER9xtqwdhxkhw/edit?usp=sharing"",""กาญจนบุรี!I368"")"),186125)</f>
        <v>186125</v>
      </c>
      <c r="J473" s="420">
        <f ca="1">IFERROR(__xludf.DUMMYFUNCTION("IMPORTRANGE(""https://docs.google.com/spreadsheets/d/1SX6NBoVAgQJ6U1MVXOaj8PK2l7WJ3RER9xtqwdhxkhw/edit?usp=sharing"",""กาญจนบุรี!J368"")"),186124)</f>
        <v>186124</v>
      </c>
      <c r="K473" s="202">
        <f t="shared" ca="1" si="117"/>
        <v>99.999462726662188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IFERROR(__xludf.DUMMYFUNCTION("IMPORTRANGE(""https://docs.google.com/spreadsheets/d/1SX6NBoVAgQJ6U1MVXOaj8PK2l7WJ3RER9xtqwdhxkhw/edit?usp=sharing"",""กาญจนบุรี!I369"")"),13419)</f>
        <v>13419</v>
      </c>
      <c r="J474" s="420">
        <f ca="1">IFERROR(__xludf.DUMMYFUNCTION("IMPORTRANGE(""https://docs.google.com/spreadsheets/d/1SX6NBoVAgQJ6U1MVXOaj8PK2l7WJ3RER9xtqwdhxkhw/edit?usp=sharing"",""กาญจนบุรี!J369"")"),13419)</f>
        <v>13419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IFERROR(__xludf.DUMMYFUNCTION("IMPORTRANGE(""https://docs.google.com/spreadsheets/d/1SX6NBoVAgQJ6U1MVXOaj8PK2l7WJ3RER9xtqwdhxkhw/edit?usp=sharing"",""กาญจนบุรี!I370"")"),0)</f>
        <v>0</v>
      </c>
      <c r="J475" s="189">
        <f ca="1">IFERROR(__xludf.DUMMYFUNCTION("IMPORTRANGE(""https://docs.google.com/spreadsheets/d/1SX6NBoVAgQJ6U1MVXOaj8PK2l7WJ3RER9xtqwdhxkhw/edit?usp=sharing"",""กาญจนบุรี!J370"")"),144838)</f>
        <v>144838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IFERROR(__xludf.DUMMYFUNCTION("IMPORTRANGE(""https://docs.google.com/spreadsheets/d/1SX6NBoVAgQJ6U1MVXOaj8PK2l7WJ3RER9xtqwdhxkhw/edit?usp=sharing"",""กาญจนบุรี!I371"")"),0)</f>
        <v>0</v>
      </c>
      <c r="J476" s="189">
        <f ca="1">IFERROR(__xludf.DUMMYFUNCTION("IMPORTRANGE(""https://docs.google.com/spreadsheets/d/1SX6NBoVAgQJ6U1MVXOaj8PK2l7WJ3RER9xtqwdhxkhw/edit?usp=sharing"",""กาญจนบุรี!J371"")"),10894)</f>
        <v>10894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IFERROR(__xludf.DUMMYFUNCTION("IMPORTRANGE(""https://docs.google.com/spreadsheets/d/1SX6NBoVAgQJ6U1MVXOaj8PK2l7WJ3RER9xtqwdhxkhw/edit?usp=sharing"",""กาญจนบุรี!I372"")"),0)</f>
        <v>0</v>
      </c>
      <c r="J477" s="189">
        <f ca="1">IFERROR(__xludf.DUMMYFUNCTION("IMPORTRANGE(""https://docs.google.com/spreadsheets/d/1SX6NBoVAgQJ6U1MVXOaj8PK2l7WJ3RER9xtqwdhxkhw/edit?usp=sharing"",""กาญจนบุรี!J372"")"),36174)</f>
        <v>36174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IFERROR(__xludf.DUMMYFUNCTION("IMPORTRANGE(""https://docs.google.com/spreadsheets/d/1SX6NBoVAgQJ6U1MVXOaj8PK2l7WJ3RER9xtqwdhxkhw/edit?usp=sharing"",""กาญจนบุรี!I373"")"),0)</f>
        <v>0</v>
      </c>
      <c r="J478" s="189">
        <f ca="1">IFERROR(__xludf.DUMMYFUNCTION("IMPORTRANGE(""https://docs.google.com/spreadsheets/d/1SX6NBoVAgQJ6U1MVXOaj8PK2l7WJ3RER9xtqwdhxkhw/edit?usp=sharing"",""กาญจนบุรี!J373"")"),2161)</f>
        <v>2161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IFERROR(__xludf.DUMMYFUNCTION("IMPORTRANGE(""https://docs.google.com/spreadsheets/d/1SX6NBoVAgQJ6U1MVXOaj8PK2l7WJ3RER9xtqwdhxkhw/edit?usp=sharing"",""กาญจนบุรี!I374"")"),0)</f>
        <v>0</v>
      </c>
      <c r="J479" s="189">
        <f ca="1">IFERROR(__xludf.DUMMYFUNCTION("IMPORTRANGE(""https://docs.google.com/spreadsheets/d/1SX6NBoVAgQJ6U1MVXOaj8PK2l7WJ3RER9xtqwdhxkhw/edit?usp=sharing"",""กาญจนบุรี!J374"")"),5112)</f>
        <v>5112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IFERROR(__xludf.DUMMYFUNCTION("IMPORTRANGE(""https://docs.google.com/spreadsheets/d/1SX6NBoVAgQJ6U1MVXOaj8PK2l7WJ3RER9xtqwdhxkhw/edit?usp=sharing"",""กาญจนบุรี!I375"")"),0)</f>
        <v>0</v>
      </c>
      <c r="J480" s="189">
        <f ca="1">IFERROR(__xludf.DUMMYFUNCTION("IMPORTRANGE(""https://docs.google.com/spreadsheets/d/1SX6NBoVAgQJ6U1MVXOaj8PK2l7WJ3RER9xtqwdhxkhw/edit?usp=sharing"",""กาญจนบุรี!J375"")"),364)</f>
        <v>364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IFERROR(__xludf.DUMMYFUNCTION("IMPORTRANGE(""https://docs.google.com/spreadsheets/d/1SX6NBoVAgQJ6U1MVXOaj8PK2l7WJ3RER9xtqwdhxkhw/edit?usp=sharing"",""กาญจนบุรี!I376"")"),186125)</f>
        <v>186125</v>
      </c>
      <c r="J481" s="420">
        <f ca="1">IFERROR(__xludf.DUMMYFUNCTION("IMPORTRANGE(""https://docs.google.com/spreadsheets/d/1SX6NBoVAgQJ6U1MVXOaj8PK2l7WJ3RER9xtqwdhxkhw/edit?usp=sharing"",""กาญจนบุรี!J376"")"),0)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IFERROR(__xludf.DUMMYFUNCTION("IMPORTRANGE(""https://docs.google.com/spreadsheets/d/1SX6NBoVAgQJ6U1MVXOaj8PK2l7WJ3RER9xtqwdhxkhw/edit?usp=sharing"",""กาญจนบุรี!I377"")"),13419)</f>
        <v>13419</v>
      </c>
      <c r="J482" s="420">
        <f ca="1">IFERROR(__xludf.DUMMYFUNCTION("IMPORTRANGE(""https://docs.google.com/spreadsheets/d/1SX6NBoVAgQJ6U1MVXOaj8PK2l7WJ3RER9xtqwdhxkhw/edit?usp=sharing"",""กาญจนบุรี!J377"")"),0)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IFERROR(__xludf.DUMMYFUNCTION("IMPORTRANGE(""https://docs.google.com/spreadsheets/d/1SX6NBoVAgQJ6U1MVXOaj8PK2l7WJ3RER9xtqwdhxkhw/edit?usp=sharing"",""กาญจนบุรี!I378"")"),0)</f>
        <v>0</v>
      </c>
      <c r="J483" s="189">
        <f ca="1">IFERROR(__xludf.DUMMYFUNCTION("IMPORTRANGE(""https://docs.google.com/spreadsheets/d/1SX6NBoVAgQJ6U1MVXOaj8PK2l7WJ3RER9xtqwdhxkhw/edit?usp=sharing"",""กาญจนบุรี!J378"")"),0)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IFERROR(__xludf.DUMMYFUNCTION("IMPORTRANGE(""https://docs.google.com/spreadsheets/d/1SX6NBoVAgQJ6U1MVXOaj8PK2l7WJ3RER9xtqwdhxkhw/edit?usp=sharing"",""กาญจนบุรี!I379"")"),0)</f>
        <v>0</v>
      </c>
      <c r="J484" s="189">
        <f ca="1">IFERROR(__xludf.DUMMYFUNCTION("IMPORTRANGE(""https://docs.google.com/spreadsheets/d/1SX6NBoVAgQJ6U1MVXOaj8PK2l7WJ3RER9xtqwdhxkhw/edit?usp=sharing"",""กาญจนบุรี!J379"")"),0)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IFERROR(__xludf.DUMMYFUNCTION("IMPORTRANGE(""https://docs.google.com/spreadsheets/d/1SX6NBoVAgQJ6U1MVXOaj8PK2l7WJ3RER9xtqwdhxkhw/edit?usp=sharing"",""กาญจนบุรี!I380"")"),0)</f>
        <v>0</v>
      </c>
      <c r="J485" s="189">
        <f ca="1">IFERROR(__xludf.DUMMYFUNCTION("IMPORTRANGE(""https://docs.google.com/spreadsheets/d/1SX6NBoVAgQJ6U1MVXOaj8PK2l7WJ3RER9xtqwdhxkhw/edit?usp=sharing"",""กาญจนบุรี!J380"")"),0)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IFERROR(__xludf.DUMMYFUNCTION("IMPORTRANGE(""https://docs.google.com/spreadsheets/d/1SX6NBoVAgQJ6U1MVXOaj8PK2l7WJ3RER9xtqwdhxkhw/edit?usp=sharing"",""กาญจนบุรี!I381"")"),0)</f>
        <v>0</v>
      </c>
      <c r="J486" s="189">
        <f ca="1">IFERROR(__xludf.DUMMYFUNCTION("IMPORTRANGE(""https://docs.google.com/spreadsheets/d/1SX6NBoVAgQJ6U1MVXOaj8PK2l7WJ3RER9xtqwdhxkhw/edit?usp=sharing"",""กาญจนบุรี!J381"")"),0)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IFERROR(__xludf.DUMMYFUNCTION("IMPORTRANGE(""https://docs.google.com/spreadsheets/d/1SX6NBoVAgQJ6U1MVXOaj8PK2l7WJ3RER9xtqwdhxkhw/edit?usp=sharing"",""กาญจนบุรี!I382"")"),0)</f>
        <v>0</v>
      </c>
      <c r="J487" s="420">
        <f ca="1">IFERROR(__xludf.DUMMYFUNCTION("IMPORTRANGE(""https://docs.google.com/spreadsheets/d/1SX6NBoVAgQJ6U1MVXOaj8PK2l7WJ3RER9xtqwdhxkhw/edit?usp=sharing"",""กาญจนบุรี!J382"")"),0)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IFERROR(__xludf.DUMMYFUNCTION("IMPORTRANGE(""https://docs.google.com/spreadsheets/d/1SX6NBoVAgQJ6U1MVXOaj8PK2l7WJ3RER9xtqwdhxkhw/edit?usp=sharing"",""กาญจนบุรี!I383"")"),0)</f>
        <v>0</v>
      </c>
      <c r="J488" s="420">
        <f ca="1">IFERROR(__xludf.DUMMYFUNCTION("IMPORTRANGE(""https://docs.google.com/spreadsheets/d/1SX6NBoVAgQJ6U1MVXOaj8PK2l7WJ3RER9xtqwdhxkhw/edit?usp=sharing"",""กาญจนบุรี!J383"")"),0)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IFERROR(__xludf.DUMMYFUNCTION("IMPORTRANGE(""https://docs.google.com/spreadsheets/d/1SX6NBoVAgQJ6U1MVXOaj8PK2l7WJ3RER9xtqwdhxkhw/edit?usp=sharing"",""กาญจนบุรี!I384"")"),0)</f>
        <v>0</v>
      </c>
      <c r="J489" s="189">
        <f ca="1">IFERROR(__xludf.DUMMYFUNCTION("IMPORTRANGE(""https://docs.google.com/spreadsheets/d/1SX6NBoVAgQJ6U1MVXOaj8PK2l7WJ3RER9xtqwdhxkhw/edit?usp=sharing"",""กาญจนบุรี!J384"")"),0)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IFERROR(__xludf.DUMMYFUNCTION("IMPORTRANGE(""https://docs.google.com/spreadsheets/d/1SX6NBoVAgQJ6U1MVXOaj8PK2l7WJ3RER9xtqwdhxkhw/edit?usp=sharing"",""กาญจนบุรี!I385"")"),0)</f>
        <v>0</v>
      </c>
      <c r="J490" s="189">
        <f ca="1">IFERROR(__xludf.DUMMYFUNCTION("IMPORTRANGE(""https://docs.google.com/spreadsheets/d/1SX6NBoVAgQJ6U1MVXOaj8PK2l7WJ3RER9xtqwdhxkhw/edit?usp=sharing"",""กาญจนบุรี!J385"")"),0)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IFERROR(__xludf.DUMMYFUNCTION("IMPORTRANGE(""https://docs.google.com/spreadsheets/d/1SX6NBoVAgQJ6U1MVXOaj8PK2l7WJ3RER9xtqwdhxkhw/edit?usp=sharing"",""กาญจนบุรี!I386"")"),0)</f>
        <v>0</v>
      </c>
      <c r="J491" s="189">
        <f ca="1">IFERROR(__xludf.DUMMYFUNCTION("IMPORTRANGE(""https://docs.google.com/spreadsheets/d/1SX6NBoVAgQJ6U1MVXOaj8PK2l7WJ3RER9xtqwdhxkhw/edit?usp=sharing"",""กาญจนบุรี!J386"")"),0)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IFERROR(__xludf.DUMMYFUNCTION("IMPORTRANGE(""https://docs.google.com/spreadsheets/d/1SX6NBoVAgQJ6U1MVXOaj8PK2l7WJ3RER9xtqwdhxkhw/edit?usp=sharing"",""กาญจนบุรี!I387"")"),0)</f>
        <v>0</v>
      </c>
      <c r="J492" s="189">
        <f ca="1">IFERROR(__xludf.DUMMYFUNCTION("IMPORTRANGE(""https://docs.google.com/spreadsheets/d/1SX6NBoVAgQJ6U1MVXOaj8PK2l7WJ3RER9xtqwdhxkhw/edit?usp=sharing"",""กาญจนบุรี!J387"")"),0)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IFERROR(__xludf.DUMMYFUNCTION("IMPORTRANGE(""https://docs.google.com/spreadsheets/d/1SX6NBoVAgQJ6U1MVXOaj8PK2l7WJ3RER9xtqwdhxkhw/edit?usp=sharing"",""กาญจนบุรี!I388"")"),0)</f>
        <v>0</v>
      </c>
      <c r="J493" s="189">
        <f ca="1">IFERROR(__xludf.DUMMYFUNCTION("IMPORTRANGE(""https://docs.google.com/spreadsheets/d/1SX6NBoVAgQJ6U1MVXOaj8PK2l7WJ3RER9xtqwdhxkhw/edit?usp=sharing"",""กาญจนบุรี!J388"")"),0)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IFERROR(__xludf.DUMMYFUNCTION("IMPORTRANGE(""https://docs.google.com/spreadsheets/d/1SX6NBoVAgQJ6U1MVXOaj8PK2l7WJ3RER9xtqwdhxkhw/edit?usp=sharing"",""กาญจนบุรี!I389"")"),0)</f>
        <v>0</v>
      </c>
      <c r="J494" s="436">
        <f ca="1">IFERROR(__xludf.DUMMYFUNCTION("IMPORTRANGE(""https://docs.google.com/spreadsheets/d/1SX6NBoVAgQJ6U1MVXOaj8PK2l7WJ3RER9xtqwdhxkhw/edit?usp=sharing"",""กาญจนบุรี!J389"")"),0)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IFERROR(__xludf.DUMMYFUNCTION("IMPORTRANGE(""https://docs.google.com/spreadsheets/d/1SX6NBoVAgQJ6U1MVXOaj8PK2l7WJ3RER9xtqwdhxkhw/edit?usp=sharing"",""กาญจนบุรี!I390"")"),0)</f>
        <v>0</v>
      </c>
      <c r="J495" s="436">
        <f ca="1">IFERROR(__xludf.DUMMYFUNCTION("IMPORTRANGE(""https://docs.google.com/spreadsheets/d/1SX6NBoVAgQJ6U1MVXOaj8PK2l7WJ3RER9xtqwdhxkhw/edit?usp=sharing"",""กาญจนบุรี!J390"")"),0)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IFERROR(__xludf.DUMMYFUNCTION("IMPORTRANGE(""https://docs.google.com/spreadsheets/d/1SX6NBoVAgQJ6U1MVXOaj8PK2l7WJ3RER9xtqwdhxkhw/edit?usp=sharing"",""กาญจนบุรี!I391"")"),0)</f>
        <v>0</v>
      </c>
      <c r="J496" s="436">
        <f ca="1">IFERROR(__xludf.DUMMYFUNCTION("IMPORTRANGE(""https://docs.google.com/spreadsheets/d/1SX6NBoVAgQJ6U1MVXOaj8PK2l7WJ3RER9xtqwdhxkhw/edit?usp=sharing"",""กาญจนบุรี!J391"")"),0)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IFERROR(__xludf.DUMMYFUNCTION("IMPORTRANGE(""https://docs.google.com/spreadsheets/d/1SX6NBoVAgQJ6U1MVXOaj8PK2l7WJ3RER9xtqwdhxkhw/edit?usp=sharing"",""กาญจนบุรี!I392"")"),4217)</f>
        <v>4217</v>
      </c>
      <c r="J497" s="443">
        <f ca="1">IFERROR(__xludf.DUMMYFUNCTION("IMPORTRANGE(""https://docs.google.com/spreadsheets/d/1SX6NBoVAgQJ6U1MVXOaj8PK2l7WJ3RER9xtqwdhxkhw/edit?usp=sharing"",""กาญจนบุรี!J392"")"),0)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IFERROR(__xludf.DUMMYFUNCTION("IMPORTRANGE(""https://docs.google.com/spreadsheets/d/1SX6NBoVAgQJ6U1MVXOaj8PK2l7WJ3RER9xtqwdhxkhw/edit?usp=sharing"",""กาญจนบุรี!I393"")"),4217)</f>
        <v>4217</v>
      </c>
      <c r="J498" s="420">
        <f ca="1">IFERROR(__xludf.DUMMYFUNCTION("IMPORTRANGE(""https://docs.google.com/spreadsheets/d/1SX6NBoVAgQJ6U1MVXOaj8PK2l7WJ3RER9xtqwdhxkhw/edit?usp=sharing"",""กาญจนบุรี!J393"")"),0)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IFERROR(__xludf.DUMMYFUNCTION("IMPORTRANGE(""https://docs.google.com/spreadsheets/d/1SX6NBoVAgQJ6U1MVXOaj8PK2l7WJ3RER9xtqwdhxkhw/edit?usp=sharing"",""กาญจนบุรี!I394"")"),232)</f>
        <v>232</v>
      </c>
      <c r="J499" s="420">
        <f ca="1">IFERROR(__xludf.DUMMYFUNCTION("IMPORTRANGE(""https://docs.google.com/spreadsheets/d/1SX6NBoVAgQJ6U1MVXOaj8PK2l7WJ3RER9xtqwdhxkhw/edit?usp=sharing"",""กาญจนบุรี!J394"")"),0)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IFERROR(__xludf.DUMMYFUNCTION("IMPORTRANGE(""https://docs.google.com/spreadsheets/d/1SX6NBoVAgQJ6U1MVXOaj8PK2l7WJ3RER9xtqwdhxkhw/edit?usp=sharing"",""กาญจนบุรี!I395"")"),0)</f>
        <v>0</v>
      </c>
      <c r="J500" s="162">
        <f ca="1">IFERROR(__xludf.DUMMYFUNCTION("IMPORTRANGE(""https://docs.google.com/spreadsheets/d/1SX6NBoVAgQJ6U1MVXOaj8PK2l7WJ3RER9xtqwdhxkhw/edit?usp=sharing"",""กาญจนบุรี!J395"")"),0)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IFERROR(__xludf.DUMMYFUNCTION("IMPORTRANGE(""https://docs.google.com/spreadsheets/d/1SX6NBoVAgQJ6U1MVXOaj8PK2l7WJ3RER9xtqwdhxkhw/edit?usp=sharing"",""กาญจนบุรี!I396"")"),0)</f>
        <v>0</v>
      </c>
      <c r="J501" s="162">
        <f ca="1">IFERROR(__xludf.DUMMYFUNCTION("IMPORTRANGE(""https://docs.google.com/spreadsheets/d/1SX6NBoVAgQJ6U1MVXOaj8PK2l7WJ3RER9xtqwdhxkhw/edit?usp=sharing"",""กาญจนบุรี!J396"")"),0)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IFERROR(__xludf.DUMMYFUNCTION("IMPORTRANGE(""https://docs.google.com/spreadsheets/d/1SX6NBoVAgQJ6U1MVXOaj8PK2l7WJ3RER9xtqwdhxkhw/edit?usp=sharing"",""กาญจนบุรี!I397"")"),0)</f>
        <v>0</v>
      </c>
      <c r="J502" s="189">
        <f ca="1">IFERROR(__xludf.DUMMYFUNCTION("IMPORTRANGE(""https://docs.google.com/spreadsheets/d/1SX6NBoVAgQJ6U1MVXOaj8PK2l7WJ3RER9xtqwdhxkhw/edit?usp=sharing"",""กาญจนบุรี!J397"")"),0)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IFERROR(__xludf.DUMMYFUNCTION("IMPORTRANGE(""https://docs.google.com/spreadsheets/d/1SX6NBoVAgQJ6U1MVXOaj8PK2l7WJ3RER9xtqwdhxkhw/edit?usp=sharing"",""กาญจนบุรี!I398"")"),0)</f>
        <v>0</v>
      </c>
      <c r="J503" s="198">
        <f ca="1">IFERROR(__xludf.DUMMYFUNCTION("IMPORTRANGE(""https://docs.google.com/spreadsheets/d/1SX6NBoVAgQJ6U1MVXOaj8PK2l7WJ3RER9xtqwdhxkhw/edit?usp=sharing"",""กาญจนบุรี!J398"")"),0)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IFERROR(__xludf.DUMMYFUNCTION("IMPORTRANGE(""https://docs.google.com/spreadsheets/d/1SX6NBoVAgQJ6U1MVXOaj8PK2l7WJ3RER9xtqwdhxkhw/edit?usp=sharing"",""กาญจนบุรี!I399"")"),0)</f>
        <v>0</v>
      </c>
      <c r="J504" s="189">
        <f ca="1">IFERROR(__xludf.DUMMYFUNCTION("IMPORTRANGE(""https://docs.google.com/spreadsheets/d/1SX6NBoVAgQJ6U1MVXOaj8PK2l7WJ3RER9xtqwdhxkhw/edit?usp=sharing"",""กาญจนบุรี!J399"")"),0)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IFERROR(__xludf.DUMMYFUNCTION("IMPORTRANGE(""https://docs.google.com/spreadsheets/d/1SX6NBoVAgQJ6U1MVXOaj8PK2l7WJ3RER9xtqwdhxkhw/edit?usp=sharing"",""กาญจนบุรี!I400"")"),0)</f>
        <v>0</v>
      </c>
      <c r="J505" s="198">
        <f ca="1">IFERROR(__xludf.DUMMYFUNCTION("IMPORTRANGE(""https://docs.google.com/spreadsheets/d/1SX6NBoVAgQJ6U1MVXOaj8PK2l7WJ3RER9xtqwdhxkhw/edit?usp=sharing"",""กาญจนบุรี!J400"")"),0)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IFERROR(__xludf.DUMMYFUNCTION("IMPORTRANGE(""https://docs.google.com/spreadsheets/d/1SX6NBoVAgQJ6U1MVXOaj8PK2l7WJ3RER9xtqwdhxkhw/edit?usp=sharing"",""กาญจนบุรี!I401"")"),0)</f>
        <v>0</v>
      </c>
      <c r="J506" s="189">
        <f ca="1">IFERROR(__xludf.DUMMYFUNCTION("IMPORTRANGE(""https://docs.google.com/spreadsheets/d/1SX6NBoVAgQJ6U1MVXOaj8PK2l7WJ3RER9xtqwdhxkhw/edit?usp=sharing"",""กาญจนบุรี!J401"")"),0)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IFERROR(__xludf.DUMMYFUNCTION("IMPORTRANGE(""https://docs.google.com/spreadsheets/d/1SX6NBoVAgQJ6U1MVXOaj8PK2l7WJ3RER9xtqwdhxkhw/edit?usp=sharing"",""กาญจนบุรี!I402"")"),0)</f>
        <v>0</v>
      </c>
      <c r="J507" s="198">
        <f ca="1">IFERROR(__xludf.DUMMYFUNCTION("IMPORTRANGE(""https://docs.google.com/spreadsheets/d/1SX6NBoVAgQJ6U1MVXOaj8PK2l7WJ3RER9xtqwdhxkhw/edit?usp=sharing"",""กาญจนบุรี!J402"")"),0)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IFERROR(__xludf.DUMMYFUNCTION("IMPORTRANGE(""https://docs.google.com/spreadsheets/d/1SX6NBoVAgQJ6U1MVXOaj8PK2l7WJ3RER9xtqwdhxkhw/edit?usp=sharing"",""กาญจนบุรี!I403"")"),0)</f>
        <v>0</v>
      </c>
      <c r="J508" s="162">
        <f ca="1">IFERROR(__xludf.DUMMYFUNCTION("IMPORTRANGE(""https://docs.google.com/spreadsheets/d/1SX6NBoVAgQJ6U1MVXOaj8PK2l7WJ3RER9xtqwdhxkhw/edit?usp=sharing"",""กาญจนบุรี!J403"")"),0)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IFERROR(__xludf.DUMMYFUNCTION("IMPORTRANGE(""https://docs.google.com/spreadsheets/d/1SX6NBoVAgQJ6U1MVXOaj8PK2l7WJ3RER9xtqwdhxkhw/edit?usp=sharing"",""กาญจนบุรี!I404"")"),0)</f>
        <v>0</v>
      </c>
      <c r="J509" s="162">
        <f ca="1">IFERROR(__xludf.DUMMYFUNCTION("IMPORTRANGE(""https://docs.google.com/spreadsheets/d/1SX6NBoVAgQJ6U1MVXOaj8PK2l7WJ3RER9xtqwdhxkhw/edit?usp=sharing"",""กาญจนบุรี!J404"")"),0)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IFERROR(__xludf.DUMMYFUNCTION("IMPORTRANGE(""https://docs.google.com/spreadsheets/d/1SX6NBoVAgQJ6U1MVXOaj8PK2l7WJ3RER9xtqwdhxkhw/edit?usp=sharing"",""กาญจนบุรี!I405"")"),0)</f>
        <v>0</v>
      </c>
      <c r="J510" s="198">
        <f ca="1">IFERROR(__xludf.DUMMYFUNCTION("IMPORTRANGE(""https://docs.google.com/spreadsheets/d/1SX6NBoVAgQJ6U1MVXOaj8PK2l7WJ3RER9xtqwdhxkhw/edit?usp=sharing"",""กาญจนบุรี!J405"")"),0)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IFERROR(__xludf.DUMMYFUNCTION("IMPORTRANGE(""https://docs.google.com/spreadsheets/d/1SX6NBoVAgQJ6U1MVXOaj8PK2l7WJ3RER9xtqwdhxkhw/edit?usp=sharing"",""กาญจนบุรี!I406"")"),0)</f>
        <v>0</v>
      </c>
      <c r="J511" s="198">
        <f ca="1">IFERROR(__xludf.DUMMYFUNCTION("IMPORTRANGE(""https://docs.google.com/spreadsheets/d/1SX6NBoVAgQJ6U1MVXOaj8PK2l7WJ3RER9xtqwdhxkhw/edit?usp=sharing"",""กาญจนบุรี!J406"")"),0)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IFERROR(__xludf.DUMMYFUNCTION("IMPORTRANGE(""https://docs.google.com/spreadsheets/d/1SX6NBoVAgQJ6U1MVXOaj8PK2l7WJ3RER9xtqwdhxkhw/edit?usp=sharing"",""กาญจนบุรี!I407"")"),0)</f>
        <v>0</v>
      </c>
      <c r="J512" s="198">
        <f ca="1">IFERROR(__xludf.DUMMYFUNCTION("IMPORTRANGE(""https://docs.google.com/spreadsheets/d/1SX6NBoVAgQJ6U1MVXOaj8PK2l7WJ3RER9xtqwdhxkhw/edit?usp=sharing"",""กาญจนบุรี!J407"")"),0)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IFERROR(__xludf.DUMMYFUNCTION("IMPORTRANGE(""https://docs.google.com/spreadsheets/d/1SX6NBoVAgQJ6U1MVXOaj8PK2l7WJ3RER9xtqwdhxkhw/edit?usp=sharing"",""กาญจนบุรี!I408"")"),0)</f>
        <v>0</v>
      </c>
      <c r="J513" s="198">
        <f ca="1">IFERROR(__xludf.DUMMYFUNCTION("IMPORTRANGE(""https://docs.google.com/spreadsheets/d/1SX6NBoVAgQJ6U1MVXOaj8PK2l7WJ3RER9xtqwdhxkhw/edit?usp=sharing"",""กาญจนบุรี!J408"")"),0)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IFERROR(__xludf.DUMMYFUNCTION("IMPORTRANGE(""https://docs.google.com/spreadsheets/d/1SX6NBoVAgQJ6U1MVXOaj8PK2l7WJ3RER9xtqwdhxkhw/edit?usp=sharing"",""กาญจนบุรี!I409"")"),0)</f>
        <v>0</v>
      </c>
      <c r="J514" s="198">
        <f ca="1">IFERROR(__xludf.DUMMYFUNCTION("IMPORTRANGE(""https://docs.google.com/spreadsheets/d/1SX6NBoVAgQJ6U1MVXOaj8PK2l7WJ3RER9xtqwdhxkhw/edit?usp=sharing"",""กาญจนบุรี!J409"")"),0)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IFERROR(__xludf.DUMMYFUNCTION("IMPORTRANGE(""https://docs.google.com/spreadsheets/d/1SX6NBoVAgQJ6U1MVXOaj8PK2l7WJ3RER9xtqwdhxkhw/edit?usp=sharing"",""กาญจนบุรี!I410"")"),0)</f>
        <v>0</v>
      </c>
      <c r="J515" s="198">
        <f ca="1">IFERROR(__xludf.DUMMYFUNCTION("IMPORTRANGE(""https://docs.google.com/spreadsheets/d/1SX6NBoVAgQJ6U1MVXOaj8PK2l7WJ3RER9xtqwdhxkhw/edit?usp=sharing"",""กาญจนบุรี!J410"")"),0)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IFERROR(__xludf.DUMMYFUNCTION("IMPORTRANGE(""https://docs.google.com/spreadsheets/d/1SX6NBoVAgQJ6U1MVXOaj8PK2l7WJ3RER9xtqwdhxkhw/edit?usp=sharing"",""กาญจนบุรี!I411"")"),0)</f>
        <v>0</v>
      </c>
      <c r="J516" s="268">
        <f ca="1">IFERROR(__xludf.DUMMYFUNCTION("IMPORTRANGE(""https://docs.google.com/spreadsheets/d/1SX6NBoVAgQJ6U1MVXOaj8PK2l7WJ3RER9xtqwdhxkhw/edit?usp=sharing"",""กาญจนบุรี!J411"")"),0)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IFERROR(__xludf.DUMMYFUNCTION("IMPORTRANGE(""https://docs.google.com/spreadsheets/d/1SX6NBoVAgQJ6U1MVXOaj8PK2l7WJ3RER9xtqwdhxkhw/edit?usp=sharing"",""กาญจนบุรี!I412"")"),0)</f>
        <v>0</v>
      </c>
      <c r="J517" s="285">
        <f ca="1">IFERROR(__xludf.DUMMYFUNCTION("IMPORTRANGE(""https://docs.google.com/spreadsheets/d/1SX6NBoVAgQJ6U1MVXOaj8PK2l7WJ3RER9xtqwdhxkhw/edit?usp=sharing"",""กาญจนบุรี!J412"")"),0)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IFERROR(__xludf.DUMMYFUNCTION("IMPORTRANGE(""https://docs.google.com/spreadsheets/d/1SX6NBoVAgQJ6U1MVXOaj8PK2l7WJ3RER9xtqwdhxkhw/edit?usp=sharing"",""กาญจนบุรี!I413"")"),0)</f>
        <v>0</v>
      </c>
      <c r="J518" s="285">
        <f ca="1">IFERROR(__xludf.DUMMYFUNCTION("IMPORTRANGE(""https://docs.google.com/spreadsheets/d/1SX6NBoVAgQJ6U1MVXOaj8PK2l7WJ3RER9xtqwdhxkhw/edit?usp=sharing"",""กาญจนบุรี!J413"")"),0)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IFERROR(__xludf.DUMMYFUNCTION("IMPORTRANGE(""https://docs.google.com/spreadsheets/d/1SX6NBoVAgQJ6U1MVXOaj8PK2l7WJ3RER9xtqwdhxkhw/edit?usp=sharing"",""กาญจนบุรี!I414"")"),0)</f>
        <v>0</v>
      </c>
      <c r="J519" s="188">
        <f ca="1">IFERROR(__xludf.DUMMYFUNCTION("IMPORTRANGE(""https://docs.google.com/spreadsheets/d/1SX6NBoVAgQJ6U1MVXOaj8PK2l7WJ3RER9xtqwdhxkhw/edit?usp=sharing"",""กาญจนบุรี!J414"")"),0)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IFERROR(__xludf.DUMMYFUNCTION("IMPORTRANGE(""https://docs.google.com/spreadsheets/d/1SX6NBoVAgQJ6U1MVXOaj8PK2l7WJ3RER9xtqwdhxkhw/edit?usp=sharing"",""กาญจนบุรี!I415"")"),0)</f>
        <v>0</v>
      </c>
      <c r="J520" s="188">
        <f ca="1">IFERROR(__xludf.DUMMYFUNCTION("IMPORTRANGE(""https://docs.google.com/spreadsheets/d/1SX6NBoVAgQJ6U1MVXOaj8PK2l7WJ3RER9xtqwdhxkhw/edit?usp=sharing"",""กาญจนบุรี!J415"")"),0)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IFERROR(__xludf.DUMMYFUNCTION("IMPORTRANGE(""https://docs.google.com/spreadsheets/d/1SX6NBoVAgQJ6U1MVXOaj8PK2l7WJ3RER9xtqwdhxkhw/edit?usp=sharing"",""กาญจนบุรี!I416"")"),0)</f>
        <v>0</v>
      </c>
      <c r="J521" s="188">
        <f ca="1">IFERROR(__xludf.DUMMYFUNCTION("IMPORTRANGE(""https://docs.google.com/spreadsheets/d/1SX6NBoVAgQJ6U1MVXOaj8PK2l7WJ3RER9xtqwdhxkhw/edit?usp=sharing"",""กาญจนบุรี!J416"")"),0)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IFERROR(__xludf.DUMMYFUNCTION("IMPORTRANGE(""https://docs.google.com/spreadsheets/d/1SX6NBoVAgQJ6U1MVXOaj8PK2l7WJ3RER9xtqwdhxkhw/edit?usp=sharing"",""กาญจนบุรี!I417"")"),0)</f>
        <v>0</v>
      </c>
      <c r="J522" s="188">
        <f ca="1">IFERROR(__xludf.DUMMYFUNCTION("IMPORTRANGE(""https://docs.google.com/spreadsheets/d/1SX6NBoVAgQJ6U1MVXOaj8PK2l7WJ3RER9xtqwdhxkhw/edit?usp=sharing"",""กาญจนบุรี!J417"")"),0)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IFERROR(__xludf.DUMMYFUNCTION("IMPORTRANGE(""https://docs.google.com/spreadsheets/d/1SX6NBoVAgQJ6U1MVXOaj8PK2l7WJ3RER9xtqwdhxkhw/edit?usp=sharing"",""กาญจนบุรี!I418"")"),0)</f>
        <v>0</v>
      </c>
      <c r="J523" s="188">
        <f ca="1">IFERROR(__xludf.DUMMYFUNCTION("IMPORTRANGE(""https://docs.google.com/spreadsheets/d/1SX6NBoVAgQJ6U1MVXOaj8PK2l7WJ3RER9xtqwdhxkhw/edit?usp=sharing"",""กาญจนบุรี!J418"")"),988)</f>
        <v>988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IFERROR(__xludf.DUMMYFUNCTION("IMPORTRANGE(""https://docs.google.com/spreadsheets/d/1SX6NBoVAgQJ6U1MVXOaj8PK2l7WJ3RER9xtqwdhxkhw/edit?usp=sharing"",""กาญจนบุรี!I419"")"),0)</f>
        <v>0</v>
      </c>
      <c r="J524" s="188">
        <f ca="1">IFERROR(__xludf.DUMMYFUNCTION("IMPORTRANGE(""https://docs.google.com/spreadsheets/d/1SX6NBoVAgQJ6U1MVXOaj8PK2l7WJ3RER9xtqwdhxkhw/edit?usp=sharing"",""กาญจนบุรี!J419"")"),56)</f>
        <v>56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IFERROR(__xludf.DUMMYFUNCTION("IMPORTRANGE(""https://docs.google.com/spreadsheets/d/1SX6NBoVAgQJ6U1MVXOaj8PK2l7WJ3RER9xtqwdhxkhw/edit?usp=sharing"",""กาญจนบุรี!I420"")"),988)</f>
        <v>988</v>
      </c>
      <c r="J525" s="285">
        <f ca="1">IFERROR(__xludf.DUMMYFUNCTION("IMPORTRANGE(""https://docs.google.com/spreadsheets/d/1SX6NBoVAgQJ6U1MVXOaj8PK2l7WJ3RER9xtqwdhxkhw/edit?usp=sharing"",""กาญจนบุรี!J420"")"),988)</f>
        <v>988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IFERROR(__xludf.DUMMYFUNCTION("IMPORTRANGE(""https://docs.google.com/spreadsheets/d/1SX6NBoVAgQJ6U1MVXOaj8PK2l7WJ3RER9xtqwdhxkhw/edit?usp=sharing"",""กาญจนบุรี!I421"")"),56)</f>
        <v>56</v>
      </c>
      <c r="J526" s="285">
        <f ca="1">IFERROR(__xludf.DUMMYFUNCTION("IMPORTRANGE(""https://docs.google.com/spreadsheets/d/1SX6NBoVAgQJ6U1MVXOaj8PK2l7WJ3RER9xtqwdhxkhw/edit?usp=sharing"",""กาญจนบุรี!J421"")"),56)</f>
        <v>56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IFERROR(__xludf.DUMMYFUNCTION("IMPORTRANGE(""https://docs.google.com/spreadsheets/d/1SX6NBoVAgQJ6U1MVXOaj8PK2l7WJ3RER9xtqwdhxkhw/edit?usp=sharing"",""กาญจนบุรี!I422"")"),0)</f>
        <v>0</v>
      </c>
      <c r="J527" s="198">
        <f ca="1">IFERROR(__xludf.DUMMYFUNCTION("IMPORTRANGE(""https://docs.google.com/spreadsheets/d/1SX6NBoVAgQJ6U1MVXOaj8PK2l7WJ3RER9xtqwdhxkhw/edit?usp=sharing"",""กาญจนบุรี!J422"")"),988)</f>
        <v>988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IFERROR(__xludf.DUMMYFUNCTION("IMPORTRANGE(""https://docs.google.com/spreadsheets/d/1SX6NBoVAgQJ6U1MVXOaj8PK2l7WJ3RER9xtqwdhxkhw/edit?usp=sharing"",""กาญจนบุรี!I423"")"),0)</f>
        <v>0</v>
      </c>
      <c r="J528" s="198">
        <f ca="1">IFERROR(__xludf.DUMMYFUNCTION("IMPORTRANGE(""https://docs.google.com/spreadsheets/d/1SX6NBoVAgQJ6U1MVXOaj8PK2l7WJ3RER9xtqwdhxkhw/edit?usp=sharing"",""กาญจนบุรี!J423"")"),56)</f>
        <v>56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IFERROR(__xludf.DUMMYFUNCTION("IMPORTRANGE(""https://docs.google.com/spreadsheets/d/1SX6NBoVAgQJ6U1MVXOaj8PK2l7WJ3RER9xtqwdhxkhw/edit?usp=sharing"",""กาญจนบุรี!I424"")"),0)</f>
        <v>0</v>
      </c>
      <c r="J529" s="198">
        <f ca="1">IFERROR(__xludf.DUMMYFUNCTION("IMPORTRANGE(""https://docs.google.com/spreadsheets/d/1SX6NBoVAgQJ6U1MVXOaj8PK2l7WJ3RER9xtqwdhxkhw/edit?usp=sharing"",""กาญจนบุรี!J424"")"),0)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IFERROR(__xludf.DUMMYFUNCTION("IMPORTRANGE(""https://docs.google.com/spreadsheets/d/1SX6NBoVAgQJ6U1MVXOaj8PK2l7WJ3RER9xtqwdhxkhw/edit?usp=sharing"",""กาญจนบุรี!I425"")"),0)</f>
        <v>0</v>
      </c>
      <c r="J530" s="198">
        <f ca="1">IFERROR(__xludf.DUMMYFUNCTION("IMPORTRANGE(""https://docs.google.com/spreadsheets/d/1SX6NBoVAgQJ6U1MVXOaj8PK2l7WJ3RER9xtqwdhxkhw/edit?usp=sharing"",""กาญจนบุรี!J425"")"),0)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IFERROR(__xludf.DUMMYFUNCTION("IMPORTRANGE(""https://docs.google.com/spreadsheets/d/1SX6NBoVAgQJ6U1MVXOaj8PK2l7WJ3RER9xtqwdhxkhw/edit?usp=sharing"",""กาญจนบุรี!I426"")"),0)</f>
        <v>0</v>
      </c>
      <c r="J531" s="198">
        <f ca="1">IFERROR(__xludf.DUMMYFUNCTION("IMPORTRANGE(""https://docs.google.com/spreadsheets/d/1SX6NBoVAgQJ6U1MVXOaj8PK2l7WJ3RER9xtqwdhxkhw/edit?usp=sharing"",""กาญจนบุรี!J426"")"),0)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IFERROR(__xludf.DUMMYFUNCTION("IMPORTRANGE(""https://docs.google.com/spreadsheets/d/1SX6NBoVAgQJ6U1MVXOaj8PK2l7WJ3RER9xtqwdhxkhw/edit?usp=sharing"",""กาญจนบุรี!I427"")"),0)</f>
        <v>0</v>
      </c>
      <c r="J532" s="466">
        <f ca="1">IFERROR(__xludf.DUMMYFUNCTION("IMPORTRANGE(""https://docs.google.com/spreadsheets/d/1SX6NBoVAgQJ6U1MVXOaj8PK2l7WJ3RER9xtqwdhxkhw/edit?usp=sharing"",""กาญจนบุรี!J427"")"),0)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IFERROR(__xludf.DUMMYFUNCTION("IMPORTRANGE(""https://docs.google.com/spreadsheets/d/1SX6NBoVAgQJ6U1MVXOaj8PK2l7WJ3RER9xtqwdhxkhw/edit?usp=sharing"",""กาญจนบุรี!I428"")"),28)</f>
        <v>28</v>
      </c>
      <c r="J533" s="410">
        <f ca="1">IFERROR(__xludf.DUMMYFUNCTION("IMPORTRANGE(""https://docs.google.com/spreadsheets/d/1SX6NBoVAgQJ6U1MVXOaj8PK2l7WJ3RER9xtqwdhxkhw/edit?usp=sharing"",""กาญจนบุรี!J428"")"),25)</f>
        <v>25</v>
      </c>
      <c r="K533" s="411">
        <f ca="1">IF(I533&gt;0,J533*100/I533,0)</f>
        <v>89.285714285714292</v>
      </c>
      <c r="L533" s="412">
        <f ca="1">IFERROR(__xludf.DUMMYFUNCTION("IMPORTRANGE(""https://docs.google.com/spreadsheets/d/1SX6NBoVAgQJ6U1MVXOaj8PK2l7WJ3RER9xtqwdhxkhw/edit?usp=sharing"",""กาญจนบุรี!L428"")"),39440)</f>
        <v>39440</v>
      </c>
      <c r="M533" s="412"/>
      <c r="N533" s="412">
        <f ca="1">IFERROR(__xludf.DUMMYFUNCTION("IMPORTRANGE(""https://docs.google.com/spreadsheets/d/1SX6NBoVAgQJ6U1MVXOaj8PK2l7WJ3RER9xtqwdhxkhw/edit?usp=sharing"",""กาญจนบุรี!M428"")"),27040)</f>
        <v>27040</v>
      </c>
      <c r="O533" s="412">
        <f t="shared" ref="O533:O537" ca="1" si="118">+IF(L533&gt;0,N533*100/L533,0)</f>
        <v>68.559837728194722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IFERROR(__xludf.DUMMYFUNCTION("IMPORTRANGE(""https://docs.google.com/spreadsheets/d/1SX6NBoVAgQJ6U1MVXOaj8PK2l7WJ3RER9xtqwdhxkhw/edit?usp=sharing"",""กาญจนบุรี!L429"")"),0)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IFERROR(__xludf.DUMMYFUNCTION("IMPORTRANGE(""https://docs.google.com/spreadsheets/d/1SX6NBoVAgQJ6U1MVXOaj8PK2l7WJ3RER9xtqwdhxkhw/edit?usp=sharing"",""กาญจนบุรี!M429"")"),0)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IFERROR(__xludf.DUMMYFUNCTION("IMPORTRANGE(""https://docs.google.com/spreadsheets/d/1SX6NBoVAgQJ6U1MVXOaj8PK2l7WJ3RER9xtqwdhxkhw/edit?usp=sharing"",""กาญจนบุรี!L430"")"),39440)</f>
        <v>39440</v>
      </c>
      <c r="M535" s="165"/>
      <c r="N535" s="169">
        <f ca="1">IFERROR(__xludf.DUMMYFUNCTION("IMPORTRANGE(""https://docs.google.com/spreadsheets/d/1SX6NBoVAgQJ6U1MVXOaj8PK2l7WJ3RER9xtqwdhxkhw/edit?usp=sharing"",""กาญจนบุรี!M430"")"),27040)</f>
        <v>27040</v>
      </c>
      <c r="O535" s="169">
        <f t="shared" ca="1" si="118"/>
        <v>68.559837728194722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IFERROR(__xludf.DUMMYFUNCTION("IMPORTRANGE(""https://docs.google.com/spreadsheets/d/1SX6NBoVAgQJ6U1MVXOaj8PK2l7WJ3RER9xtqwdhxkhw/edit?usp=sharing"",""กาญจนบุรี!L431"")"),0)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IFERROR(__xludf.DUMMYFUNCTION("IMPORTRANGE(""https://docs.google.com/spreadsheets/d/1SX6NBoVAgQJ6U1MVXOaj8PK2l7WJ3RER9xtqwdhxkhw/edit?usp=sharing"",""กาญจนบุรี!M431"")"),0)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IFERROR(__xludf.DUMMYFUNCTION("IMPORTRANGE(""https://docs.google.com/spreadsheets/d/1SX6NBoVAgQJ6U1MVXOaj8PK2l7WJ3RER9xtqwdhxkhw/edit?usp=sharing"",""กาญจนบุรี!L432"")"),39440)</f>
        <v>39440</v>
      </c>
      <c r="M537" s="169"/>
      <c r="N537" s="169">
        <f ca="1">IFERROR(__xludf.DUMMYFUNCTION("IMPORTRANGE(""https://docs.google.com/spreadsheets/d/1SX6NBoVAgQJ6U1MVXOaj8PK2l7WJ3RER9xtqwdhxkhw/edit?usp=sharing"",""กาญจนบุรี!M432"")"),27040)</f>
        <v>27040</v>
      </c>
      <c r="O537" s="169">
        <f t="shared" ca="1" si="118"/>
        <v>68.559837728194722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IFERROR(__xludf.DUMMYFUNCTION("IMPORTRANGE(""https://docs.google.com/spreadsheets/d/1SX6NBoVAgQJ6U1MVXOaj8PK2l7WJ3RER9xtqwdhxkhw/edit?usp=sharing"",""กาญจนบุรี!M433"")"),23840)</f>
        <v>23840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IFERROR(__xludf.DUMMYFUNCTION("IMPORTRANGE(""https://docs.google.com/spreadsheets/d/1SX6NBoVAgQJ6U1MVXOaj8PK2l7WJ3RER9xtqwdhxkhw/edit?usp=sharing"",""กาญจนบุรี!M434"")"),0)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IFERROR(__xludf.DUMMYFUNCTION("IMPORTRANGE(""https://docs.google.com/spreadsheets/d/1SX6NBoVAgQJ6U1MVXOaj8PK2l7WJ3RER9xtqwdhxkhw/edit?usp=sharing"",""กาญจนบุรี!M435"")"),0)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IFERROR(__xludf.DUMMYFUNCTION("IMPORTRANGE(""https://docs.google.com/spreadsheets/d/1SX6NBoVAgQJ6U1MVXOaj8PK2l7WJ3RER9xtqwdhxkhw/edit?usp=sharing"",""กาญจนบุรี!M436"")"),3200)</f>
        <v>3200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IFERROR(__xludf.DUMMYFUNCTION("IMPORTRANGE(""https://docs.google.com/spreadsheets/d/1SX6NBoVAgQJ6U1MVXOaj8PK2l7WJ3RER9xtqwdhxkhw/edit?usp=sharing"",""กาญจนบุรี!J438"")"),0)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IFERROR(__xludf.DUMMYFUNCTION("IMPORTRANGE(""https://docs.google.com/spreadsheets/d/1SX6NBoVAgQJ6U1MVXOaj8PK2l7WJ3RER9xtqwdhxkhw/edit?usp=sharing"",""กาญจนบุรี!J439"")"),1)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IFERROR(__xludf.DUMMYFUNCTION("IMPORTRANGE(""https://docs.google.com/spreadsheets/d/1SX6NBoVAgQJ6U1MVXOaj8PK2l7WJ3RER9xtqwdhxkhw/edit?usp=sharing"",""กาญจนบุรี!J440"")"),1)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IFERROR(__xludf.DUMMYFUNCTION("IMPORTRANGE(""https://docs.google.com/spreadsheets/d/1SX6NBoVAgQJ6U1MVXOaj8PK2l7WJ3RER9xtqwdhxkhw/edit?usp=sharing"",""กาญจนบุรี!J441"")"),1)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IFERROR(__xludf.DUMMYFUNCTION("IMPORTRANGE(""https://docs.google.com/spreadsheets/d/1SX6NBoVAgQJ6U1MVXOaj8PK2l7WJ3RER9xtqwdhxkhw/edit?usp=sharing"",""กาญจนบุรี!I442"")"),28)</f>
        <v>28</v>
      </c>
      <c r="J547" s="189">
        <f ca="1">IFERROR(__xludf.DUMMYFUNCTION("IMPORTRANGE(""https://docs.google.com/spreadsheets/d/1SX6NBoVAgQJ6U1MVXOaj8PK2l7WJ3RER9xtqwdhxkhw/edit?usp=sharing"",""กาญจนบุรี!J442"")"),25)</f>
        <v>25</v>
      </c>
      <c r="K547" s="163">
        <f t="shared" ref="K547:K548" ca="1" si="119">IF(I547&gt;0,J547*100/I547,0)</f>
        <v>89.285714285714292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IFERROR(__xludf.DUMMYFUNCTION("IMPORTRANGE(""https://docs.google.com/spreadsheets/d/1SX6NBoVAgQJ6U1MVXOaj8PK2l7WJ3RER9xtqwdhxkhw/edit?usp=sharing"",""กาญจนบุรี!J166"")"),0)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IFERROR(__xludf.DUMMYFUNCTION("IMPORTRANGE(""https://docs.google.com/spreadsheets/d/1SX6NBoVAgQJ6U1MVXOaj8PK2l7WJ3RER9xtqwdhxkhw/edit?usp=sharing"",""กาญจนบุรี!J444"")"),0)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IFERROR(__xludf.DUMMYFUNCTION("IMPORTRANGE(""https://docs.google.com/spreadsheets/d/1SX6NBoVAgQJ6U1MVXOaj8PK2l7WJ3RER9xtqwdhxkhw/edit?usp=sharing"",""กาญจนบุรี!J445"")"),0)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IFERROR(__xludf.DUMMYFUNCTION("IMPORTRANGE(""https://docs.google.com/spreadsheets/d/1SX6NBoVAgQJ6U1MVXOaj8PK2l7WJ3RER9xtqwdhxkhw/edit?usp=sharing"",""กาญจนบุรี!I446"")"),3000)</f>
        <v>3000</v>
      </c>
      <c r="J551" s="410">
        <f ca="1">IFERROR(__xludf.DUMMYFUNCTION("IMPORTRANGE(""https://docs.google.com/spreadsheets/d/1SX6NBoVAgQJ6U1MVXOaj8PK2l7WJ3RER9xtqwdhxkhw/edit?usp=sharing"",""กาญจนบุรี!J446"")"),520)</f>
        <v>520</v>
      </c>
      <c r="K551" s="411">
        <f ca="1">IF(I551&gt;0,J551*100/I551,0)</f>
        <v>17.333333333333332</v>
      </c>
      <c r="L551" s="412">
        <f ca="1">IFERROR(__xludf.DUMMYFUNCTION("IMPORTRANGE(""https://docs.google.com/spreadsheets/d/1SX6NBoVAgQJ6U1MVXOaj8PK2l7WJ3RER9xtqwdhxkhw/edit?usp=sharing"",""กาญจนบุรี!L446"")"),198000)</f>
        <v>198000</v>
      </c>
      <c r="M551" s="412"/>
      <c r="N551" s="412">
        <f ca="1">IFERROR(__xludf.DUMMYFUNCTION("IMPORTRANGE(""https://docs.google.com/spreadsheets/d/1SX6NBoVAgQJ6U1MVXOaj8PK2l7WJ3RER9xtqwdhxkhw/edit?usp=sharing"",""กาญจนบุรี!M446"")"),70365)</f>
        <v>70365</v>
      </c>
      <c r="O551" s="412">
        <f t="shared" ref="O551:O555" ca="1" si="120">+IF(L551&gt;0,N551*100/L551,0)</f>
        <v>35.537878787878789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IFERROR(__xludf.DUMMYFUNCTION("IMPORTRANGE(""https://docs.google.com/spreadsheets/d/1SX6NBoVAgQJ6U1MVXOaj8PK2l7WJ3RER9xtqwdhxkhw/edit?usp=sharing"",""กาญจนบุรี!L447"")"),0)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IFERROR(__xludf.DUMMYFUNCTION("IMPORTRANGE(""https://docs.google.com/spreadsheets/d/1SX6NBoVAgQJ6U1MVXOaj8PK2l7WJ3RER9xtqwdhxkhw/edit?usp=sharing"",""กาญจนบุรี!M447"")"),0)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IFERROR(__xludf.DUMMYFUNCTION("IMPORTRANGE(""https://docs.google.com/spreadsheets/d/1SX6NBoVAgQJ6U1MVXOaj8PK2l7WJ3RER9xtqwdhxkhw/edit?usp=sharing"",""กาญจนบุรี!L448"")"),198000)</f>
        <v>198000</v>
      </c>
      <c r="M553" s="165"/>
      <c r="N553" s="169">
        <f ca="1">IFERROR(__xludf.DUMMYFUNCTION("IMPORTRANGE(""https://docs.google.com/spreadsheets/d/1SX6NBoVAgQJ6U1MVXOaj8PK2l7WJ3RER9xtqwdhxkhw/edit?usp=sharing"",""กาญจนบุรี!M448"")"),70365)</f>
        <v>70365</v>
      </c>
      <c r="O553" s="169">
        <f t="shared" ca="1" si="120"/>
        <v>35.537878787878789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IFERROR(__xludf.DUMMYFUNCTION("IMPORTRANGE(""https://docs.google.com/spreadsheets/d/1SX6NBoVAgQJ6U1MVXOaj8PK2l7WJ3RER9xtqwdhxkhw/edit?usp=sharing"",""กาญจนบุรี!L449"")"),0)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IFERROR(__xludf.DUMMYFUNCTION("IMPORTRANGE(""https://docs.google.com/spreadsheets/d/1SX6NBoVAgQJ6U1MVXOaj8PK2l7WJ3RER9xtqwdhxkhw/edit?usp=sharing"",""กาญจนบุรี!M449"")"),0)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IFERROR(__xludf.DUMMYFUNCTION("IMPORTRANGE(""https://docs.google.com/spreadsheets/d/1SX6NBoVAgQJ6U1MVXOaj8PK2l7WJ3RER9xtqwdhxkhw/edit?usp=sharing"",""กาญจนบุรี!L450"")"),198000)</f>
        <v>198000</v>
      </c>
      <c r="M555" s="169"/>
      <c r="N555" s="169">
        <f ca="1">IFERROR(__xludf.DUMMYFUNCTION("IMPORTRANGE(""https://docs.google.com/spreadsheets/d/1SX6NBoVAgQJ6U1MVXOaj8PK2l7WJ3RER9xtqwdhxkhw/edit?usp=sharing"",""กาญจนบุรี!M450"")"),70365)</f>
        <v>70365</v>
      </c>
      <c r="O555" s="169">
        <f t="shared" ca="1" si="120"/>
        <v>35.537878787878789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IFERROR(__xludf.DUMMYFUNCTION("IMPORTRANGE(""https://docs.google.com/spreadsheets/d/1SX6NBoVAgQJ6U1MVXOaj8PK2l7WJ3RER9xtqwdhxkhw/edit?usp=sharing"",""กาญจนบุรี!M451"")"),0)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IFERROR(__xludf.DUMMYFUNCTION("IMPORTRANGE(""https://docs.google.com/spreadsheets/d/1SX6NBoVAgQJ6U1MVXOaj8PK2l7WJ3RER9xtqwdhxkhw/edit?usp=sharing"",""กาญจนบุรี!M452"")"),0)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IFERROR(__xludf.DUMMYFUNCTION("IMPORTRANGE(""https://docs.google.com/spreadsheets/d/1SX6NBoVAgQJ6U1MVXOaj8PK2l7WJ3RER9xtqwdhxkhw/edit?usp=sharing"",""กาญจนบุรี!M453"")"),0)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IFERROR(__xludf.DUMMYFUNCTION("IMPORTRANGE(""https://docs.google.com/spreadsheets/d/1SX6NBoVAgQJ6U1MVXOaj8PK2l7WJ3RER9xtqwdhxkhw/edit?usp=sharing"",""กาญจนบุรี!M454"")"),70365)</f>
        <v>70365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IFERROR(__xludf.DUMMYFUNCTION("IMPORTRANGE(""https://docs.google.com/spreadsheets/d/1SX6NBoVAgQJ6U1MVXOaj8PK2l7WJ3RER9xtqwdhxkhw/edit?usp=sharing"",""กาญจนบุรี!I455"")"),3000)</f>
        <v>3000</v>
      </c>
      <c r="J560" s="162">
        <f ca="1">IFERROR(__xludf.DUMMYFUNCTION("IMPORTRANGE(""https://docs.google.com/spreadsheets/d/1SX6NBoVAgQJ6U1MVXOaj8PK2l7WJ3RER9xtqwdhxkhw/edit?usp=sharing"",""กาญจนบุรี!J455"")"),520)</f>
        <v>520</v>
      </c>
      <c r="K560" s="225">
        <f t="shared" ref="K560:K561" ca="1" si="121">IF(I560&gt;0,J560*100/I560,0)</f>
        <v>17.333333333333332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IFERROR(__xludf.DUMMYFUNCTION("IMPORTRANGE(""https://docs.google.com/spreadsheets/d/1SX6NBoVAgQJ6U1MVXOaj8PK2l7WJ3RER9xtqwdhxkhw/edit?usp=sharing"",""กาญจนบุรี!I456"")"),0)</f>
        <v>0</v>
      </c>
      <c r="J561" s="204">
        <f ca="1">IFERROR(__xludf.DUMMYFUNCTION("IMPORTRANGE(""https://docs.google.com/spreadsheets/d/1SX6NBoVAgQJ6U1MVXOaj8PK2l7WJ3RER9xtqwdhxkhw/edit?usp=sharing"",""กาญจนบุรี!J456"")"),19)</f>
        <v>19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IFERROR(__xludf.DUMMYFUNCTION("IMPORTRANGE(""https://docs.google.com/spreadsheets/d/1SX6NBoVAgQJ6U1MVXOaj8PK2l7WJ3RER9xtqwdhxkhw/edit?usp=sharing"",""กาญจนบุรี!I459"")"),1900)</f>
        <v>1900</v>
      </c>
      <c r="J564" s="371">
        <f ca="1">IFERROR(__xludf.DUMMYFUNCTION("IMPORTRANGE(""https://docs.google.com/spreadsheets/d/1SX6NBoVAgQJ6U1MVXOaj8PK2l7WJ3RER9xtqwdhxkhw/edit?usp=sharing"",""กาญจนบุรี!J459"")"),2741)</f>
        <v>2741</v>
      </c>
      <c r="K564" s="372">
        <f ca="1">IF(I564&gt;0,J564*100/I564,0)</f>
        <v>144.26315789473685</v>
      </c>
      <c r="L564" s="373">
        <f ca="1">IFERROR(__xludf.DUMMYFUNCTION("IMPORTRANGE(""https://docs.google.com/spreadsheets/d/1SX6NBoVAgQJ6U1MVXOaj8PK2l7WJ3RER9xtqwdhxkhw/edit?usp=sharing"",""กาญจนบุรี!L459"")"),138000)</f>
        <v>138000</v>
      </c>
      <c r="M564" s="373"/>
      <c r="N564" s="373">
        <f ca="1">IFERROR(__xludf.DUMMYFUNCTION("IMPORTRANGE(""https://docs.google.com/spreadsheets/d/1SX6NBoVAgQJ6U1MVXOaj8PK2l7WJ3RER9xtqwdhxkhw/edit?usp=sharing"",""กาญจนบุรี!M459"")"),131004)</f>
        <v>131004</v>
      </c>
      <c r="O564" s="373">
        <f t="shared" ref="O564:O568" ca="1" si="122">+IF(L564&gt;0,N564*100/L564,0)</f>
        <v>94.9304347826087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IFERROR(__xludf.DUMMYFUNCTION("IMPORTRANGE(""https://docs.google.com/spreadsheets/d/1SX6NBoVAgQJ6U1MVXOaj8PK2l7WJ3RER9xtqwdhxkhw/edit?usp=sharing"",""กาญจนบุรี!L460"")"),0)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IFERROR(__xludf.DUMMYFUNCTION("IMPORTRANGE(""https://docs.google.com/spreadsheets/d/1SX6NBoVAgQJ6U1MVXOaj8PK2l7WJ3RER9xtqwdhxkhw/edit?usp=sharing"",""กาญจนบุรี!M460"")"),0)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IFERROR(__xludf.DUMMYFUNCTION("IMPORTRANGE(""https://docs.google.com/spreadsheets/d/1SX6NBoVAgQJ6U1MVXOaj8PK2l7WJ3RER9xtqwdhxkhw/edit?usp=sharing"",""กาญจนบุรี!L461"")"),138000)</f>
        <v>138000</v>
      </c>
      <c r="M566" s="165"/>
      <c r="N566" s="169">
        <f ca="1">IFERROR(__xludf.DUMMYFUNCTION("IMPORTRANGE(""https://docs.google.com/spreadsheets/d/1SX6NBoVAgQJ6U1MVXOaj8PK2l7WJ3RER9xtqwdhxkhw/edit?usp=sharing"",""กาญจนบุรี!M461"")"),131004)</f>
        <v>131004</v>
      </c>
      <c r="O566" s="169">
        <f t="shared" ca="1" si="122"/>
        <v>94.9304347826087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IFERROR(__xludf.DUMMYFUNCTION("IMPORTRANGE(""https://docs.google.com/spreadsheets/d/1SX6NBoVAgQJ6U1MVXOaj8PK2l7WJ3RER9xtqwdhxkhw/edit?usp=sharing"",""กาญจนบุรี!L462"")"),0)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IFERROR(__xludf.DUMMYFUNCTION("IMPORTRANGE(""https://docs.google.com/spreadsheets/d/1SX6NBoVAgQJ6U1MVXOaj8PK2l7WJ3RER9xtqwdhxkhw/edit?usp=sharing"",""กาญจนบุรี!M462"")"),0)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IFERROR(__xludf.DUMMYFUNCTION("IMPORTRANGE(""https://docs.google.com/spreadsheets/d/1SX6NBoVAgQJ6U1MVXOaj8PK2l7WJ3RER9xtqwdhxkhw/edit?usp=sharing"",""กาญจนบุรี!L463"")"),138000)</f>
        <v>138000</v>
      </c>
      <c r="M568" s="169"/>
      <c r="N568" s="169">
        <f ca="1">IFERROR(__xludf.DUMMYFUNCTION("IMPORTRANGE(""https://docs.google.com/spreadsheets/d/1SX6NBoVAgQJ6U1MVXOaj8PK2l7WJ3RER9xtqwdhxkhw/edit?usp=sharing"",""กาญจนบุรี!M463"")"),131004)</f>
        <v>131004</v>
      </c>
      <c r="O568" s="169">
        <f t="shared" ca="1" si="122"/>
        <v>94.9304347826087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IFERROR(__xludf.DUMMYFUNCTION("IMPORTRANGE(""https://docs.google.com/spreadsheets/d/1SX6NBoVAgQJ6U1MVXOaj8PK2l7WJ3RER9xtqwdhxkhw/edit?usp=sharing"",""กาญจนบุรี!M464"")"),0)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IFERROR(__xludf.DUMMYFUNCTION("IMPORTRANGE(""https://docs.google.com/spreadsheets/d/1SX6NBoVAgQJ6U1MVXOaj8PK2l7WJ3RER9xtqwdhxkhw/edit?usp=sharing"",""กาญจนบุรี!M465"")"),0)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IFERROR(__xludf.DUMMYFUNCTION("IMPORTRANGE(""https://docs.google.com/spreadsheets/d/1SX6NBoVAgQJ6U1MVXOaj8PK2l7WJ3RER9xtqwdhxkhw/edit?usp=sharing"",""กาญจนบุรี!M466"")"),86909)</f>
        <v>86909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IFERROR(__xludf.DUMMYFUNCTION("IMPORTRANGE(""https://docs.google.com/spreadsheets/d/1SX6NBoVAgQJ6U1MVXOaj8PK2l7WJ3RER9xtqwdhxkhw/edit?usp=sharing"",""กาญจนบุรี!M467"")"),44095)</f>
        <v>44095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IFERROR(__xludf.DUMMYFUNCTION("IMPORTRANGE(""https://docs.google.com/spreadsheets/d/1SX6NBoVAgQJ6U1MVXOaj8PK2l7WJ3RER9xtqwdhxkhw/edit?usp=sharing"",""กาญจนบุรี!I468"")"),1900)</f>
        <v>1900</v>
      </c>
      <c r="J573" s="420">
        <f ca="1">IFERROR(__xludf.DUMMYFUNCTION("IMPORTRANGE(""https://docs.google.com/spreadsheets/d/1SX6NBoVAgQJ6U1MVXOaj8PK2l7WJ3RER9xtqwdhxkhw/edit?usp=sharing"",""กาญจนบุรี!J468"")"),2741)</f>
        <v>2741</v>
      </c>
      <c r="K573" s="202">
        <f ca="1">IF(I573&gt;0,J573*100/I573,0)</f>
        <v>144.26315789473685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IFERROR(__xludf.DUMMYFUNCTION("IMPORTRANGE(""https://docs.google.com/spreadsheets/d/1SX6NBoVAgQJ6U1MVXOaj8PK2l7WJ3RER9xtqwdhxkhw/edit?usp=sharing"",""กาญจนบุรี!I470"")"),0)</f>
        <v>0</v>
      </c>
      <c r="J575" s="198">
        <f ca="1">IFERROR(__xludf.DUMMYFUNCTION("IMPORTRANGE(""https://docs.google.com/spreadsheets/d/1SX6NBoVAgQJ6U1MVXOaj8PK2l7WJ3RER9xtqwdhxkhw/edit?usp=sharing"",""กาญจนบุรี!J470"")"),5)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IFERROR(__xludf.DUMMYFUNCTION("IMPORTRANGE(""https://docs.google.com/spreadsheets/d/1SX6NBoVAgQJ6U1MVXOaj8PK2l7WJ3RER9xtqwdhxkhw/edit?usp=sharing"",""กาญจนบุรี!I471"")"),0)</f>
        <v>0</v>
      </c>
      <c r="J576" s="198">
        <f ca="1">IFERROR(__xludf.DUMMYFUNCTION("IMPORTRANGE(""https://docs.google.com/spreadsheets/d/1SX6NBoVAgQJ6U1MVXOaj8PK2l7WJ3RER9xtqwdhxkhw/edit?usp=sharing"",""กาญจนบุรี!J471"")"),325)</f>
        <v>325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IFERROR(__xludf.DUMMYFUNCTION("IMPORTRANGE(""https://docs.google.com/spreadsheets/d/1SX6NBoVAgQJ6U1MVXOaj8PK2l7WJ3RER9xtqwdhxkhw/edit?usp=sharing"",""กาญจนบุรี!I472"")"),0)</f>
        <v>0</v>
      </c>
      <c r="J577" s="189">
        <f ca="1">IFERROR(__xludf.DUMMYFUNCTION("IMPORTRANGE(""https://docs.google.com/spreadsheets/d/1SX6NBoVAgQJ6U1MVXOaj8PK2l7WJ3RER9xtqwdhxkhw/edit?usp=sharing"",""กาญจนบุรี!J472"")"),2416)</f>
        <v>2416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IFERROR(__xludf.DUMMYFUNCTION("IMPORTRANGE(""https://docs.google.com/spreadsheets/d/1SX6NBoVAgQJ6U1MVXOaj8PK2l7WJ3RER9xtqwdhxkhw/edit?usp=sharing"",""กาญจนบุรี!I473"")"),0)</f>
        <v>0</v>
      </c>
      <c r="J578" s="198">
        <f ca="1">IFERROR(__xludf.DUMMYFUNCTION("IMPORTRANGE(""https://docs.google.com/spreadsheets/d/1SX6NBoVAgQJ6U1MVXOaj8PK2l7WJ3RER9xtqwdhxkhw/edit?usp=sharing"",""กาญจนบุรี!J473"")"),0)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IFERROR(__xludf.DUMMYFUNCTION("IMPORTRANGE(""https://docs.google.com/spreadsheets/d/1SX6NBoVAgQJ6U1MVXOaj8PK2l7WJ3RER9xtqwdhxkhw/edit?usp=sharing"",""กาญจนบุรี!I474"")"),0)</f>
        <v>0</v>
      </c>
      <c r="J579" s="198">
        <f ca="1">IFERROR(__xludf.DUMMYFUNCTION("IMPORTRANGE(""https://docs.google.com/spreadsheets/d/1SX6NBoVAgQJ6U1MVXOaj8PK2l7WJ3RER9xtqwdhxkhw/edit?usp=sharing"",""กาญจนบุรี!J474"")"),0)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IFERROR(__xludf.DUMMYFUNCTION("IMPORTRANGE(""https://docs.google.com/spreadsheets/d/1SX6NBoVAgQJ6U1MVXOaj8PK2l7WJ3RER9xtqwdhxkhw/edit?usp=sharing"",""กาญจนบุรี!I475"")"),0)</f>
        <v>0</v>
      </c>
      <c r="J580" s="371">
        <f ca="1">IFERROR(__xludf.DUMMYFUNCTION("IMPORTRANGE(""https://docs.google.com/spreadsheets/d/1SX6NBoVAgQJ6U1MVXOaj8PK2l7WJ3RER9xtqwdhxkhw/edit?usp=sharing"",""กาญจนบุรี!J475"")"),0)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IFERROR(__xludf.DUMMYFUNCTION("IMPORTRANGE(""https://docs.google.com/spreadsheets/d/1SX6NBoVAgQJ6U1MVXOaj8PK2l7WJ3RER9xtqwdhxkhw/edit?usp=sharing"",""กาญจนบุรี!L475"")"),0)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IFERROR(__xludf.DUMMYFUNCTION("IMPORTRANGE(""https://docs.google.com/spreadsheets/d/1SX6NBoVAgQJ6U1MVXOaj8PK2l7WJ3RER9xtqwdhxkhw/edit?usp=sharing"",""กาญจนบุรี!M475"")"),0)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IFERROR(__xludf.DUMMYFUNCTION("IMPORTRANGE(""https://docs.google.com/spreadsheets/d/1SX6NBoVAgQJ6U1MVXOaj8PK2l7WJ3RER9xtqwdhxkhw/edit?usp=sharing"",""กาญจนบุรี!L476"")"),0)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IFERROR(__xludf.DUMMYFUNCTION("IMPORTRANGE(""https://docs.google.com/spreadsheets/d/1SX6NBoVAgQJ6U1MVXOaj8PK2l7WJ3RER9xtqwdhxkhw/edit?usp=sharing"",""กาญจนบุรี!M476"")"),0)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IFERROR(__xludf.DUMMYFUNCTION("IMPORTRANGE(""https://docs.google.com/spreadsheets/d/1SX6NBoVAgQJ6U1MVXOaj8PK2l7WJ3RER9xtqwdhxkhw/edit?usp=sharing"",""กาญจนบุรี!L477"")"),0)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IFERROR(__xludf.DUMMYFUNCTION("IMPORTRANGE(""https://docs.google.com/spreadsheets/d/1SX6NBoVAgQJ6U1MVXOaj8PK2l7WJ3RER9xtqwdhxkhw/edit?usp=sharing"",""กาญจนบุรี!M477"")"),0)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IFERROR(__xludf.DUMMYFUNCTION("IMPORTRANGE(""https://docs.google.com/spreadsheets/d/1SX6NBoVAgQJ6U1MVXOaj8PK2l7WJ3RER9xtqwdhxkhw/edit?usp=sharing"",""กาญจนบุรี!L478"")"),0)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IFERROR(__xludf.DUMMYFUNCTION("IMPORTRANGE(""https://docs.google.com/spreadsheets/d/1SX6NBoVAgQJ6U1MVXOaj8PK2l7WJ3RER9xtqwdhxkhw/edit?usp=sharing"",""กาญจนบุรี!M478"")"),0)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IFERROR(__xludf.DUMMYFUNCTION("IMPORTRANGE(""https://docs.google.com/spreadsheets/d/1SX6NBoVAgQJ6U1MVXOaj8PK2l7WJ3RER9xtqwdhxkhw/edit?usp=sharing"",""กาญจนบุรี!L479"")"),0)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IFERROR(__xludf.DUMMYFUNCTION("IMPORTRANGE(""https://docs.google.com/spreadsheets/d/1SX6NBoVAgQJ6U1MVXOaj8PK2l7WJ3RER9xtqwdhxkhw/edit?usp=sharing"",""กาญจนบุรี!M479"")"),0)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IFERROR(__xludf.DUMMYFUNCTION("IMPORTRANGE(""https://docs.google.com/spreadsheets/d/1SX6NBoVAgQJ6U1MVXOaj8PK2l7WJ3RER9xtqwdhxkhw/edit?usp=sharing"",""กาญจนบุรี!M480"")"),0)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IFERROR(__xludf.DUMMYFUNCTION("IMPORTRANGE(""https://docs.google.com/spreadsheets/d/1SX6NBoVAgQJ6U1MVXOaj8PK2l7WJ3RER9xtqwdhxkhw/edit?usp=sharing"",""กาญจนบุรี!M481"")"),0)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IFERROR(__xludf.DUMMYFUNCTION("IMPORTRANGE(""https://docs.google.com/spreadsheets/d/1SX6NBoVAgQJ6U1MVXOaj8PK2l7WJ3RER9xtqwdhxkhw/edit?usp=sharing"",""กาญจนบุรี!M482"")"),0)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IFERROR(__xludf.DUMMYFUNCTION("IMPORTRANGE(""https://docs.google.com/spreadsheets/d/1SX6NBoVAgQJ6U1MVXOaj8PK2l7WJ3RER9xtqwdhxkhw/edit?usp=sharing"",""กาญจนบุรี!M483"")"),0)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IFERROR(__xludf.DUMMYFUNCTION("IMPORTRANGE(""https://docs.google.com/spreadsheets/d/1SX6NBoVAgQJ6U1MVXOaj8PK2l7WJ3RER9xtqwdhxkhw/edit?usp=sharing"",""กาญจนบุรี!I484"")"),0)</f>
        <v>0</v>
      </c>
      <c r="J589" s="188">
        <f ca="1">IFERROR(__xludf.DUMMYFUNCTION("IMPORTRANGE(""https://docs.google.com/spreadsheets/d/1SX6NBoVAgQJ6U1MVXOaj8PK2l7WJ3RER9xtqwdhxkhw/edit?usp=sharing"",""กาญจนบุรี!J484"")"),0)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IFERROR(__xludf.DUMMYFUNCTION("IMPORTRANGE(""https://docs.google.com/spreadsheets/d/1SX6NBoVAgQJ6U1MVXOaj8PK2l7WJ3RER9xtqwdhxkhw/edit?usp=sharing"",""กาญจนบุรี!I485"")"),0)</f>
        <v>0</v>
      </c>
      <c r="J590" s="188">
        <f ca="1">IFERROR(__xludf.DUMMYFUNCTION("IMPORTRANGE(""https://docs.google.com/spreadsheets/d/1SX6NBoVAgQJ6U1MVXOaj8PK2l7WJ3RER9xtqwdhxkhw/edit?usp=sharing"",""กาญจนบุรี!J485"")"),0)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IFERROR(__xludf.DUMMYFUNCTION("IMPORTRANGE(""https://docs.google.com/spreadsheets/d/1SX6NBoVAgQJ6U1MVXOaj8PK2l7WJ3RER9xtqwdhxkhw/edit?usp=sharing"",""กาญจนบุรี!I486"")"),0)</f>
        <v>0</v>
      </c>
      <c r="J591" s="188">
        <f ca="1">IFERROR(__xludf.DUMMYFUNCTION("IMPORTRANGE(""https://docs.google.com/spreadsheets/d/1SX6NBoVAgQJ6U1MVXOaj8PK2l7WJ3RER9xtqwdhxkhw/edit?usp=sharing"",""กาญจนบุรี!J486"")"),0)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IFERROR(__xludf.DUMMYFUNCTION("IMPORTRANGE(""https://docs.google.com/spreadsheets/d/1SX6NBoVAgQJ6U1MVXOaj8PK2l7WJ3RER9xtqwdhxkhw/edit?usp=sharing"",""กาญจนบุรี!I487"")"),0)</f>
        <v>0</v>
      </c>
      <c r="J592" s="188">
        <f ca="1">IFERROR(__xludf.DUMMYFUNCTION("IMPORTRANGE(""https://docs.google.com/spreadsheets/d/1SX6NBoVAgQJ6U1MVXOaj8PK2l7WJ3RER9xtqwdhxkhw/edit?usp=sharing"",""กาญจนบุรี!J487"")"),0)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IFERROR(__xludf.DUMMYFUNCTION("IMPORTRANGE(""https://docs.google.com/spreadsheets/d/1SX6NBoVAgQJ6U1MVXOaj8PK2l7WJ3RER9xtqwdhxkhw/edit?usp=sharing"",""กาญจนบุรี!I488"")"),0)</f>
        <v>0</v>
      </c>
      <c r="J593" s="188">
        <f ca="1">IFERROR(__xludf.DUMMYFUNCTION("IMPORTRANGE(""https://docs.google.com/spreadsheets/d/1SX6NBoVAgQJ6U1MVXOaj8PK2l7WJ3RER9xtqwdhxkhw/edit?usp=sharing"",""กาญจนบุรี!J488"")"),0)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IFERROR(__xludf.DUMMYFUNCTION("IMPORTRANGE(""https://docs.google.com/spreadsheets/d/1SX6NBoVAgQJ6U1MVXOaj8PK2l7WJ3RER9xtqwdhxkhw/edit?usp=sharing"",""กาญจนบุรี!I489"")"),0)</f>
        <v>0</v>
      </c>
      <c r="J594" s="188">
        <f ca="1">IFERROR(__xludf.DUMMYFUNCTION("IMPORTRANGE(""https://docs.google.com/spreadsheets/d/1SX6NBoVAgQJ6U1MVXOaj8PK2l7WJ3RER9xtqwdhxkhw/edit?usp=sharing"",""กาญจนบุรี!J489"")"),0)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IFERROR(__xludf.DUMMYFUNCTION("IMPORTRANGE(""https://docs.google.com/spreadsheets/d/1SX6NBoVAgQJ6U1MVXOaj8PK2l7WJ3RER9xtqwdhxkhw/edit?usp=sharing"",""กาญจนบุรี!I490"")"),0)</f>
        <v>0</v>
      </c>
      <c r="J595" s="188">
        <f ca="1">IFERROR(__xludf.DUMMYFUNCTION("IMPORTRANGE(""https://docs.google.com/spreadsheets/d/1SX6NBoVAgQJ6U1MVXOaj8PK2l7WJ3RER9xtqwdhxkhw/edit?usp=sharing"",""กาญจนบุรี!J490"")"),0)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IFERROR(__xludf.DUMMYFUNCTION("IMPORTRANGE(""https://docs.google.com/spreadsheets/d/1SX6NBoVAgQJ6U1MVXOaj8PK2l7WJ3RER9xtqwdhxkhw/edit?usp=sharing"",""กาญจนบุรี!I491"")"),0)</f>
        <v>0</v>
      </c>
      <c r="J596" s="242">
        <f ca="1">IFERROR(__xludf.DUMMYFUNCTION("IMPORTRANGE(""https://docs.google.com/spreadsheets/d/1SX6NBoVAgQJ6U1MVXOaj8PK2l7WJ3RER9xtqwdhxkhw/edit?usp=sharing"",""กาญจนบุรี!J491"")"),0)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IFERROR(__xludf.DUMMYFUNCTION("IMPORTRANGE(""https://docs.google.com/spreadsheets/d/1SX6NBoVAgQJ6U1MVXOaj8PK2l7WJ3RER9xtqwdhxkhw/edit?usp=sharing"",""กาญจนบุรี!I492"")"),300)</f>
        <v>300</v>
      </c>
      <c r="J597" s="488">
        <f ca="1">IFERROR(__xludf.DUMMYFUNCTION("IMPORTRANGE(""https://docs.google.com/spreadsheets/d/1SX6NBoVAgQJ6U1MVXOaj8PK2l7WJ3RER9xtqwdhxkhw/edit?usp=sharing"",""กาญจนบุรี!J492"")"),0)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IFERROR(__xludf.DUMMYFUNCTION("IMPORTRANGE(""https://docs.google.com/spreadsheets/d/1SX6NBoVAgQJ6U1MVXOaj8PK2l7WJ3RER9xtqwdhxkhw/edit?usp=sharing"",""กาญจนบุรี!L492"")"),18300)</f>
        <v>18300</v>
      </c>
      <c r="M597" s="412"/>
      <c r="N597" s="412">
        <f ca="1">IFERROR(__xludf.DUMMYFUNCTION("IMPORTRANGE(""https://docs.google.com/spreadsheets/d/1SX6NBoVAgQJ6U1MVXOaj8PK2l7WJ3RER9xtqwdhxkhw/edit?usp=sharing"",""กาญจนบุรี!M492"")"),320)</f>
        <v>320</v>
      </c>
      <c r="O597" s="412">
        <f t="shared" ref="O597:O601" ca="1" si="126">+IF(L597&gt;0,N597*100/L597,0)</f>
        <v>1.7486338797814207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IFERROR(__xludf.DUMMYFUNCTION("IMPORTRANGE(""https://docs.google.com/spreadsheets/d/1SX6NBoVAgQJ6U1MVXOaj8PK2l7WJ3RER9xtqwdhxkhw/edit?usp=sharing"",""กาญจนบุรี!L493"")"),0)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IFERROR(__xludf.DUMMYFUNCTION("IMPORTRANGE(""https://docs.google.com/spreadsheets/d/1SX6NBoVAgQJ6U1MVXOaj8PK2l7WJ3RER9xtqwdhxkhw/edit?usp=sharing"",""กาญจนบุรี!M493"")"),0)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IFERROR(__xludf.DUMMYFUNCTION("IMPORTRANGE(""https://docs.google.com/spreadsheets/d/1SX6NBoVAgQJ6U1MVXOaj8PK2l7WJ3RER9xtqwdhxkhw/edit?usp=sharing"",""กาญจนบุรี!L494"")"),18300)</f>
        <v>18300</v>
      </c>
      <c r="M599" s="165"/>
      <c r="N599" s="169">
        <f ca="1">IFERROR(__xludf.DUMMYFUNCTION("IMPORTRANGE(""https://docs.google.com/spreadsheets/d/1SX6NBoVAgQJ6U1MVXOaj8PK2l7WJ3RER9xtqwdhxkhw/edit?usp=sharing"",""กาญจนบุรี!M494"")"),320)</f>
        <v>320</v>
      </c>
      <c r="O599" s="169">
        <f t="shared" ca="1" si="126"/>
        <v>1.7486338797814207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IFERROR(__xludf.DUMMYFUNCTION("IMPORTRANGE(""https://docs.google.com/spreadsheets/d/1SX6NBoVAgQJ6U1MVXOaj8PK2l7WJ3RER9xtqwdhxkhw/edit?usp=sharing"",""กาญจนบุรี!L495"")"),0)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IFERROR(__xludf.DUMMYFUNCTION("IMPORTRANGE(""https://docs.google.com/spreadsheets/d/1SX6NBoVAgQJ6U1MVXOaj8PK2l7WJ3RER9xtqwdhxkhw/edit?usp=sharing"",""กาญจนบุรี!M495"")"),0)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IFERROR(__xludf.DUMMYFUNCTION("IMPORTRANGE(""https://docs.google.com/spreadsheets/d/1SX6NBoVAgQJ6U1MVXOaj8PK2l7WJ3RER9xtqwdhxkhw/edit?usp=sharing"",""กาญจนบุรี!L496"")"),18300)</f>
        <v>18300</v>
      </c>
      <c r="M601" s="169"/>
      <c r="N601" s="169">
        <f ca="1">IFERROR(__xludf.DUMMYFUNCTION("IMPORTRANGE(""https://docs.google.com/spreadsheets/d/1SX6NBoVAgQJ6U1MVXOaj8PK2l7WJ3RER9xtqwdhxkhw/edit?usp=sharing"",""กาญจนบุรี!M496"")"),320)</f>
        <v>320</v>
      </c>
      <c r="O601" s="169">
        <f t="shared" ca="1" si="126"/>
        <v>1.7486338797814207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IFERROR(__xludf.DUMMYFUNCTION("IMPORTRANGE(""https://docs.google.com/spreadsheets/d/1SX6NBoVAgQJ6U1MVXOaj8PK2l7WJ3RER9xtqwdhxkhw/edit?usp=sharing"",""กาญจนบุรี!M497"")"),0)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IFERROR(__xludf.DUMMYFUNCTION("IMPORTRANGE(""https://docs.google.com/spreadsheets/d/1SX6NBoVAgQJ6U1MVXOaj8PK2l7WJ3RER9xtqwdhxkhw/edit?usp=sharing"",""กาญจนบุรี!M498"")"),0)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IFERROR(__xludf.DUMMYFUNCTION("IMPORTRANGE(""https://docs.google.com/spreadsheets/d/1SX6NBoVAgQJ6U1MVXOaj8PK2l7WJ3RER9xtqwdhxkhw/edit?usp=sharing"",""กาญจนบุรี!M499"")"),0)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IFERROR(__xludf.DUMMYFUNCTION("IMPORTRANGE(""https://docs.google.com/spreadsheets/d/1SX6NBoVAgQJ6U1MVXOaj8PK2l7WJ3RER9xtqwdhxkhw/edit?usp=sharing"",""กาญจนบุรี!M500"")"),320)</f>
        <v>320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IFERROR(__xludf.DUMMYFUNCTION("IMPORTRANGE(""https://docs.google.com/spreadsheets/d/1SX6NBoVAgQJ6U1MVXOaj8PK2l7WJ3RER9xtqwdhxkhw/edit?usp=sharing"",""กาญจนบุรี!J502"")"),0)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IFERROR(__xludf.DUMMYFUNCTION("IMPORTRANGE(""https://docs.google.com/spreadsheets/d/1SX6NBoVAgQJ6U1MVXOaj8PK2l7WJ3RER9xtqwdhxkhw/edit?usp=sharing"",""กาญจนบุรี!J503"")"),1)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IFERROR(__xludf.DUMMYFUNCTION("IMPORTRANGE(""https://docs.google.com/spreadsheets/d/1SX6NBoVAgQJ6U1MVXOaj8PK2l7WJ3RER9xtqwdhxkhw/edit?usp=sharing"",""กาญจนบุรี!J166"")"),0)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IFERROR(__xludf.DUMMYFUNCTION("IMPORTRANGE(""https://docs.google.com/spreadsheets/d/1SX6NBoVAgQJ6U1MVXOaj8PK2l7WJ3RER9xtqwdhxkhw/edit?usp=sharing"",""กาญจนบุรี!J166"")"),0)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IFERROR(__xludf.DUMMYFUNCTION("IMPORTRANGE(""https://docs.google.com/spreadsheets/d/1SX6NBoVAgQJ6U1MVXOaj8PK2l7WJ3RER9xtqwdhxkhw/edit?usp=sharing"",""กาญจนบุรี!I506"")"),300)</f>
        <v>300</v>
      </c>
      <c r="J611" s="162">
        <f ca="1">IFERROR(__xludf.DUMMYFUNCTION("IMPORTRANGE(""https://docs.google.com/spreadsheets/d/1SX6NBoVAgQJ6U1MVXOaj8PK2l7WJ3RER9xtqwdhxkhw/edit?usp=sharing"",""กาญจนบุรี!J506"")"),0)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IFERROR(__xludf.DUMMYFUNCTION("IMPORTRANGE(""https://docs.google.com/spreadsheets/d/1SX6NBoVAgQJ6U1MVXOaj8PK2l7WJ3RER9xtqwdhxkhw/edit?usp=sharing"",""กาญจนบุรี!I507"")"),0)</f>
        <v>0</v>
      </c>
      <c r="J612" s="198">
        <f ca="1">IFERROR(__xludf.DUMMYFUNCTION("IMPORTRANGE(""https://docs.google.com/spreadsheets/d/1SX6NBoVAgQJ6U1MVXOaj8PK2l7WJ3RER9xtqwdhxkhw/edit?usp=sharing"",""กาญจนบุรี!J507"")"),136.63)</f>
        <v>136.63</v>
      </c>
      <c r="K612" s="163">
        <f t="shared" ca="1" si="127"/>
        <v>45.543333333333337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IFERROR(__xludf.DUMMYFUNCTION("IMPORTRANGE(""https://docs.google.com/spreadsheets/d/1SX6NBoVAgQJ6U1MVXOaj8PK2l7WJ3RER9xtqwdhxkhw/edit?usp=sharing"",""กาญจนบุรี!I508"")"),0)</f>
        <v>0</v>
      </c>
      <c r="J613" s="198">
        <f ca="1">IFERROR(__xludf.DUMMYFUNCTION("IMPORTRANGE(""https://docs.google.com/spreadsheets/d/1SX6NBoVAgQJ6U1MVXOaj8PK2l7WJ3RER9xtqwdhxkhw/edit?usp=sharing"",""กาญจนบุรี!J508"")"),136.63)</f>
        <v>136.63</v>
      </c>
      <c r="K613" s="163">
        <f t="shared" ca="1" si="127"/>
        <v>45.543333333333337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IFERROR(__xludf.DUMMYFUNCTION("IMPORTRANGE(""https://docs.google.com/spreadsheets/d/1SX6NBoVAgQJ6U1MVXOaj8PK2l7WJ3RER9xtqwdhxkhw/edit?usp=sharing"",""กาญจนบุรี!I509"")"),0)</f>
        <v>0</v>
      </c>
      <c r="J614" s="198">
        <f ca="1">IFERROR(__xludf.DUMMYFUNCTION("IMPORTRANGE(""https://docs.google.com/spreadsheets/d/1SX6NBoVAgQJ6U1MVXOaj8PK2l7WJ3RER9xtqwdhxkhw/edit?usp=sharing"",""กาญจนบุรี!J509"")"),0)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IFERROR(__xludf.DUMMYFUNCTION("IMPORTRANGE(""https://docs.google.com/spreadsheets/d/1SX6NBoVAgQJ6U1MVXOaj8PK2l7WJ3RER9xtqwdhxkhw/edit?usp=sharing"",""กาญจนบุรี!I510"")"),0)</f>
        <v>0</v>
      </c>
      <c r="J615" s="198">
        <f ca="1">IFERROR(__xludf.DUMMYFUNCTION("IMPORTRANGE(""https://docs.google.com/spreadsheets/d/1SX6NBoVAgQJ6U1MVXOaj8PK2l7WJ3RER9xtqwdhxkhw/edit?usp=sharing"",""กาญจนบุรี!J510"")"),0)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IFERROR(__xludf.DUMMYFUNCTION("IMPORTRANGE(""https://docs.google.com/spreadsheets/d/1SX6NBoVAgQJ6U1MVXOaj8PK2l7WJ3RER9xtqwdhxkhw/edit?usp=sharing"",""กาญจนบุรี!I511"")"),0)</f>
        <v>0</v>
      </c>
      <c r="J616" s="198">
        <f ca="1">IFERROR(__xludf.DUMMYFUNCTION("IMPORTRANGE(""https://docs.google.com/spreadsheets/d/1SX6NBoVAgQJ6U1MVXOaj8PK2l7WJ3RER9xtqwdhxkhw/edit?usp=sharing"",""กาญจนบุรี!J511"")"),0)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IFERROR(__xludf.DUMMYFUNCTION("IMPORTRANGE(""https://docs.google.com/spreadsheets/d/1SX6NBoVAgQJ6U1MVXOaj8PK2l7WJ3RER9xtqwdhxkhw/edit?usp=sharing"",""กาญจนบุรี!I512"")"),0)</f>
        <v>0</v>
      </c>
      <c r="J617" s="188">
        <f ca="1">IFERROR(__xludf.DUMMYFUNCTION("IMPORTRANGE(""https://docs.google.com/spreadsheets/d/1SX6NBoVAgQJ6U1MVXOaj8PK2l7WJ3RER9xtqwdhxkhw/edit?usp=sharing"",""กาญจนบุรี!J512"")"),0)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IFERROR(__xludf.DUMMYFUNCTION("IMPORTRANGE(""https://docs.google.com/spreadsheets/d/1SX6NBoVAgQJ6U1MVXOaj8PK2l7WJ3RER9xtqwdhxkhw/edit?usp=sharing"",""กาญจนบุรี!I513"")"),0)</f>
        <v>0</v>
      </c>
      <c r="J618" s="189">
        <f ca="1">IFERROR(__xludf.DUMMYFUNCTION("IMPORTRANGE(""https://docs.google.com/spreadsheets/d/1SX6NBoVAgQJ6U1MVXOaj8PK2l7WJ3RER9xtqwdhxkhw/edit?usp=sharing"",""กาญจนบุรี!J513"")"),0)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IFERROR(__xludf.DUMMYFUNCTION("IMPORTRANGE(""https://docs.google.com/spreadsheets/d/1SX6NBoVAgQJ6U1MVXOaj8PK2l7WJ3RER9xtqwdhxkhw/edit?usp=sharing"",""กาญจนบุรี!I514"")"),0)</f>
        <v>0</v>
      </c>
      <c r="J619" s="189">
        <f ca="1">IFERROR(__xludf.DUMMYFUNCTION("IMPORTRANGE(""https://docs.google.com/spreadsheets/d/1SX6NBoVAgQJ6U1MVXOaj8PK2l7WJ3RER9xtqwdhxkhw/edit?usp=sharing"",""กาญจนบุรี!J514"")"),0)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IFERROR(__xludf.DUMMYFUNCTION("IMPORTRANGE(""https://docs.google.com/spreadsheets/d/1SX6NBoVAgQJ6U1MVXOaj8PK2l7WJ3RER9xtqwdhxkhw/edit?usp=sharing"",""กาญจนบุรี!I515"")"),0)</f>
        <v>0</v>
      </c>
      <c r="J620" s="203">
        <f ca="1">IFERROR(__xludf.DUMMYFUNCTION("IMPORTRANGE(""https://docs.google.com/spreadsheets/d/1SX6NBoVAgQJ6U1MVXOaj8PK2l7WJ3RER9xtqwdhxkhw/edit?usp=sharing"",""กาญจนบุรี!J515"")"),0)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IFERROR(__xludf.DUMMYFUNCTION("IMPORTRANGE(""https://docs.google.com/spreadsheets/d/1SX6NBoVAgQJ6U1MVXOaj8PK2l7WJ3RER9xtqwdhxkhw/edit?usp=sharing"",""กาญจนบุรี!I516"")"),0)</f>
        <v>0</v>
      </c>
      <c r="J621" s="203">
        <f ca="1">IFERROR(__xludf.DUMMYFUNCTION("IMPORTRANGE(""https://docs.google.com/spreadsheets/d/1SX6NBoVAgQJ6U1MVXOaj8PK2l7WJ3RER9xtqwdhxkhw/edit?usp=sharing"",""กาญจนบุรี!J516"")"),0)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IFERROR(__xludf.DUMMYFUNCTION("IMPORTRANGE(""https://docs.google.com/spreadsheets/d/1SX6NBoVAgQJ6U1MVXOaj8PK2l7WJ3RER9xtqwdhxkhw/edit?usp=sharing"",""กาญจนบุรี!I517"")"),0)</f>
        <v>0</v>
      </c>
      <c r="J622" s="189">
        <f ca="1">IFERROR(__xludf.DUMMYFUNCTION("IMPORTRANGE(""https://docs.google.com/spreadsheets/d/1SX6NBoVAgQJ6U1MVXOaj8PK2l7WJ3RER9xtqwdhxkhw/edit?usp=sharing"",""กาญจนบุรี!J517"")"),0)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IFERROR(__xludf.DUMMYFUNCTION("IMPORTRANGE(""https://docs.google.com/spreadsheets/d/1SX6NBoVAgQJ6U1MVXOaj8PK2l7WJ3RER9xtqwdhxkhw/edit?usp=sharing"",""กาญจนบุรี!I518"")"),0)</f>
        <v>0</v>
      </c>
      <c r="J623" s="189">
        <f ca="1">IFERROR(__xludf.DUMMYFUNCTION("IMPORTRANGE(""https://docs.google.com/spreadsheets/d/1SX6NBoVAgQJ6U1MVXOaj8PK2l7WJ3RER9xtqwdhxkhw/edit?usp=sharing"",""กาญจนบุรี!J518"")"),0)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IFERROR(__xludf.DUMMYFUNCTION("IMPORTRANGE(""https://docs.google.com/spreadsheets/d/1SX6NBoVAgQJ6U1MVXOaj8PK2l7WJ3RER9xtqwdhxkhw/edit?usp=sharing"",""กาญจนบุรี!I519"")"),0)</f>
        <v>0</v>
      </c>
      <c r="J624" s="188">
        <f ca="1">IFERROR(__xludf.DUMMYFUNCTION("IMPORTRANGE(""https://docs.google.com/spreadsheets/d/1SX6NBoVAgQJ6U1MVXOaj8PK2l7WJ3RER9xtqwdhxkhw/edit?usp=sharing"",""กาญจนบุรี!J519"")"),0)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IFERROR(__xludf.DUMMYFUNCTION("IMPORTRANGE(""https://docs.google.com/spreadsheets/d/1SX6NBoVAgQJ6U1MVXOaj8PK2l7WJ3RER9xtqwdhxkhw/edit?usp=sharing"",""กาญจนบุรี!I520"")"),0)</f>
        <v>0</v>
      </c>
      <c r="J625" s="189">
        <f ca="1">IFERROR(__xludf.DUMMYFUNCTION("IMPORTRANGE(""https://docs.google.com/spreadsheets/d/1SX6NBoVAgQJ6U1MVXOaj8PK2l7WJ3RER9xtqwdhxkhw/edit?usp=sharing"",""กาญจนบุรี!J520"")"),0)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IFERROR(__xludf.DUMMYFUNCTION("IMPORTRANGE(""https://docs.google.com/spreadsheets/d/1SX6NBoVAgQJ6U1MVXOaj8PK2l7WJ3RER9xtqwdhxkhw/edit?usp=sharing"",""กาญจนบุรี!I521"")"),0)</f>
        <v>0</v>
      </c>
      <c r="J626" s="189">
        <f ca="1">IFERROR(__xludf.DUMMYFUNCTION("IMPORTRANGE(""https://docs.google.com/spreadsheets/d/1SX6NBoVAgQJ6U1MVXOaj8PK2l7WJ3RER9xtqwdhxkhw/edit?usp=sharing"",""กาญจนบุรี!J521"")"),0)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IFERROR(__xludf.DUMMYFUNCTION("IMPORTRANGE(""https://docs.google.com/spreadsheets/d/1SX6NBoVAgQJ6U1MVXOaj8PK2l7WJ3RER9xtqwdhxkhw/edit?usp=sharing"",""กาญจนบุรี!I523"")"),1500000)</f>
        <v>1500000</v>
      </c>
      <c r="J628" s="342">
        <f ca="1">IFERROR(__xludf.DUMMYFUNCTION("IMPORTRANGE(""https://docs.google.com/spreadsheets/d/1SX6NBoVAgQJ6U1MVXOaj8PK2l7WJ3RER9xtqwdhxkhw/edit?usp=sharing"",""กาญจนบุรี!J523"")"),1559610.56)</f>
        <v>1559610.56</v>
      </c>
      <c r="K628" s="343">
        <f t="shared" ref="K628:K635" ca="1" si="129">IF(I628&gt;0,J628*100/I628,0)</f>
        <v>103.97403733333333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IFERROR(__xludf.DUMMYFUNCTION("IMPORTRANGE(""https://docs.google.com/spreadsheets/d/1SX6NBoVAgQJ6U1MVXOaj8PK2l7WJ3RER9xtqwdhxkhw/edit?usp=sharing"",""กาญจนบุรี!I524"")"),50)</f>
        <v>50</v>
      </c>
      <c r="J629" s="342">
        <f ca="1">IFERROR(__xludf.DUMMYFUNCTION("IMPORTRANGE(""https://docs.google.com/spreadsheets/d/1SX6NBoVAgQJ6U1MVXOaj8PK2l7WJ3RER9xtqwdhxkhw/edit?usp=sharing"",""กาญจนบุรี!J524"")"),55)</f>
        <v>55</v>
      </c>
      <c r="K629" s="343">
        <f t="shared" ca="1" si="129"/>
        <v>110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2">
        <f ca="1">IFERROR(__xludf.DUMMYFUNCTION("IMPORTRANGE(""https://docs.google.com/spreadsheets/d/1SX6NBoVAgQJ6U1MVXOaj8PK2l7WJ3RER9xtqwdhxkhw/edit?usp=sharing"",""กาญจนบุรี!J525"")"),1568904.3)</f>
        <v>1568904.3</v>
      </c>
      <c r="K630" s="343">
        <f t="shared" ca="1" si="129"/>
        <v>7.5066507635834512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IFERROR(__xludf.DUMMYFUNCTION("IMPORTRANGE(""https://docs.google.com/spreadsheets/d/1SX6NBoVAgQJ6U1MVXOaj8PK2l7WJ3RER9xtqwdhxkhw/edit?usp=sharing"",""กาญจนบุรี!I526"")"),734)</f>
        <v>734</v>
      </c>
      <c r="J631" s="342">
        <f ca="1">IFERROR(__xludf.DUMMYFUNCTION("IMPORTRANGE(""https://docs.google.com/spreadsheets/d/1SX6NBoVAgQJ6U1MVXOaj8PK2l7WJ3RER9xtqwdhxkhw/edit?usp=sharing"",""กาญจนบุรี!J526"")"),226)</f>
        <v>226</v>
      </c>
      <c r="K631" s="343">
        <f t="shared" ca="1" si="129"/>
        <v>30.790190735694821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2">
        <f ca="1">IFERROR(__xludf.DUMMYFUNCTION("IMPORTRANGE(""https://docs.google.com/spreadsheets/d/1SX6NBoVAgQJ6U1MVXOaj8PK2l7WJ3RER9xtqwdhxkhw/edit?usp=sharing"",""กาญจนบุรี!J527"")"),186887.95)</f>
        <v>186887.95</v>
      </c>
      <c r="K632" s="343">
        <f t="shared" ca="1" si="129"/>
        <v>30.720683850679826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IFERROR(__xludf.DUMMYFUNCTION("IMPORTRANGE(""https://docs.google.com/spreadsheets/d/1SX6NBoVAgQJ6U1MVXOaj8PK2l7WJ3RER9xtqwdhxkhw/edit?usp=sharing"",""กาญจนบุรี!I528"")"),179)</f>
        <v>179</v>
      </c>
      <c r="J633" s="342">
        <f ca="1">IFERROR(__xludf.DUMMYFUNCTION("IMPORTRANGE(""https://docs.google.com/spreadsheets/d/1SX6NBoVAgQJ6U1MVXOaj8PK2l7WJ3RER9xtqwdhxkhw/edit?usp=sharing"",""กาญจนบุรี!J528"")"),61)</f>
        <v>61</v>
      </c>
      <c r="K633" s="343">
        <f t="shared" ca="1" si="129"/>
        <v>34.07821229050279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IFERROR(__xludf.DUMMYFUNCTION("IMPORTRANGE(""https://docs.google.com/spreadsheets/d/1SX6NBoVAgQJ6U1MVXOaj8PK2l7WJ3RER9xtqwdhxkhw/edit?usp=sharing"",""กาญจนบุรี!I529"")"),2100000)</f>
        <v>2100000</v>
      </c>
      <c r="J634" s="342">
        <f ca="1">IFERROR(__xludf.DUMMYFUNCTION("IMPORTRANGE(""https://docs.google.com/spreadsheets/d/1SX6NBoVAgQJ6U1MVXOaj8PK2l7WJ3RER9xtqwdhxkhw/edit?usp=sharing"",""กาญจนบุรี!J529"")"),2100000)</f>
        <v>2100000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6"/>
      <c r="B635" s="557"/>
      <c r="C635" s="557"/>
      <c r="D635" s="558"/>
      <c r="E635" s="559"/>
      <c r="F635" s="559"/>
      <c r="G635" s="560"/>
      <c r="H635" s="504" t="s">
        <v>37</v>
      </c>
      <c r="I635" s="505">
        <f ca="1">IFERROR(__xludf.DUMMYFUNCTION("IMPORTRANGE(""https://docs.google.com/spreadsheets/d/1SX6NBoVAgQJ6U1MVXOaj8PK2l7WJ3RER9xtqwdhxkhw/edit?usp=sharing"",""กาญจนบุรี!I530"")"),70)</f>
        <v>70</v>
      </c>
      <c r="J635" s="505">
        <f ca="1">IFERROR(__xludf.DUMMYFUNCTION("IMPORTRANGE(""https://docs.google.com/spreadsheets/d/1SX6NBoVAgQJ6U1MVXOaj8PK2l7WJ3RER9xtqwdhxkhw/edit?usp=sharing"",""กาญจนบุรี!J530"")"),70)</f>
        <v>70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IFERROR(__xludf.DUMMYFUNCTION("IMPORTRANGE(""https://docs.google.com/spreadsheets/d/1SX6NBoVAgQJ6U1MVXOaj8PK2l7WJ3RER9xtqwdhxkhw/edit#gid=346597447"",""กาญจนบุรี!J541"")"),0)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IFERROR(__xludf.DUMMYFUNCTION("IMPORTRANGE(""https://docs.google.com/spreadsheets/d/1SX6NBoVAgQJ6U1MVXOaj8PK2l7WJ3RER9xtqwdhxkhw/edit#gid=346597447"",""กาญจนบุรี!J542"")"),0)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IFERROR(__xludf.DUMMYFUNCTION("IMPORTRANGE(""https://docs.google.com/spreadsheets/d/1SX6NBoVAgQJ6U1MVXOaj8PK2l7WJ3RER9xtqwdhxkhw/edit#gid=346597447"",""กาญจนบุรี!I543"")"),0)</f>
        <v>0</v>
      </c>
      <c r="J648" s="537">
        <f ca="1">IFERROR(__xludf.DUMMYFUNCTION("IMPORTRANGE(""https://docs.google.com/spreadsheets/d/1SX6NBoVAgQJ6U1MVXOaj8PK2l7WJ3RER9xtqwdhxkhw/edit#gid=346597447"",""กาญจนบุรี!J543"")"),0)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IFERROR(__xludf.DUMMYFUNCTION("IMPORTRANGE(""https://docs.google.com/spreadsheets/d/1SX6NBoVAgQJ6U1MVXOaj8PK2l7WJ3RER9xtqwdhxkhw/edit#gid=346597447"",""กาญจนบุรี!L543"")"),0)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IFERROR(__xludf.DUMMYFUNCTION("IMPORTRANGE(""https://docs.google.com/spreadsheets/d/1SX6NBoVAgQJ6U1MVXOaj8PK2l7WJ3RER9xtqwdhxkhw/edit#gid=346597447"",""กาญจนบุรี!M543"")"),0)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IFERROR(__xludf.DUMMYFUNCTION("IMPORTRANGE(""https://docs.google.com/spreadsheets/d/1SX6NBoVAgQJ6U1MVXOaj8PK2l7WJ3RER9xtqwdhxkhw/edit#gid=346597447"",""กาญจนบุรี!I544"")"),0)</f>
        <v>0</v>
      </c>
      <c r="J649" s="537">
        <f ca="1">IFERROR(__xludf.DUMMYFUNCTION("IMPORTRANGE(""https://docs.google.com/spreadsheets/d/1SX6NBoVAgQJ6U1MVXOaj8PK2l7WJ3RER9xtqwdhxkhw/edit#gid=346597447"",""กาญจนบุรี!J544"")"),0)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IFERROR(__xludf.DUMMYFUNCTION("IMPORTRANGE(""https://docs.google.com/spreadsheets/d/1SX6NBoVAgQJ6U1MVXOaj8PK2l7WJ3RER9xtqwdhxkhw/edit#gid=346597447"",""กาญจนบุรี!L544"")"),0)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IFERROR(__xludf.DUMMYFUNCTION("IMPORTRANGE(""https://docs.google.com/spreadsheets/d/1SX6NBoVAgQJ6U1MVXOaj8PK2l7WJ3RER9xtqwdhxkhw/edit#gid=346597447"",""กาญจนบุรี!M544"")"),0)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IFERROR(__xludf.DUMMYFUNCTION("IMPORTRANGE(""https://docs.google.com/spreadsheets/d/1SX6NBoVAgQJ6U1MVXOaj8PK2l7WJ3RER9xtqwdhxkhw/edit#gid=346597447"",""กาญจนบุรี!I545"")"),0)</f>
        <v>0</v>
      </c>
      <c r="J650" s="537">
        <f ca="1">IFERROR(__xludf.DUMMYFUNCTION("IMPORTRANGE(""https://docs.google.com/spreadsheets/d/1SX6NBoVAgQJ6U1MVXOaj8PK2l7WJ3RER9xtqwdhxkhw/edit#gid=346597447"",""กาญจนบุรี!J545"")"),0)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IFERROR(__xludf.DUMMYFUNCTION("IMPORTRANGE(""https://docs.google.com/spreadsheets/d/1SX6NBoVAgQJ6U1MVXOaj8PK2l7WJ3RER9xtqwdhxkhw/edit#gid=346597447"",""กาญจนบุรี!L545"")"),0)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IFERROR(__xludf.DUMMYFUNCTION("IMPORTRANGE(""https://docs.google.com/spreadsheets/d/1SX6NBoVAgQJ6U1MVXOaj8PK2l7WJ3RER9xtqwdhxkhw/edit#gid=346597447"",""กาญจนบุรี!M545"")"),0)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IFERROR(__xludf.DUMMYFUNCTION("IMPORTRANGE(""https://docs.google.com/spreadsheets/d/1SX6NBoVAgQJ6U1MVXOaj8PK2l7WJ3RER9xtqwdhxkhw/edit#gid=346597447"",""กาญจนบุรี!I546"")"),0)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IFERROR(__xludf.DUMMYFUNCTION("IMPORTRANGE(""https://docs.google.com/spreadsheets/d/1SX6NBoVAgQJ6U1MVXOaj8PK2l7WJ3RER9xtqwdhxkhw/edit#gid=346597447"",""กาญจนบุรี!L546"")"),0)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IFERROR(__xludf.DUMMYFUNCTION("IMPORTRANGE(""https://docs.google.com/spreadsheets/d/1SX6NBoVAgQJ6U1MVXOaj8PK2l7WJ3RER9xtqwdhxkhw/edit#gid=346597447"",""กาญจนบุรี!M546"")"),0)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IFERROR(__xludf.DUMMYFUNCTION("IMPORTRANGE(""https://docs.google.com/spreadsheets/d/1SX6NBoVAgQJ6U1MVXOaj8PK2l7WJ3RER9xtqwdhxkhw/edit#gid=346597447"",""กาญจนบุรี!J547"")"),0)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IFERROR(__xludf.DUMMYFUNCTION("IMPORTRANGE(""https://docs.google.com/spreadsheets/d/1SX6NBoVAgQJ6U1MVXOaj8PK2l7WJ3RER9xtqwdhxkhw/edit#gid=346597447"",""กาญจนบุรี!J548"")"),0)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IFERROR(__xludf.DUMMYFUNCTION("IMPORTRANGE(""https://docs.google.com/spreadsheets/d/1SX6NBoVAgQJ6U1MVXOaj8PK2l7WJ3RER9xtqwdhxkhw/edit#gid=346597447"",""กาญจนบุรี!J550"")"),0)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IFERROR(__xludf.DUMMYFUNCTION("IMPORTRANGE(""https://docs.google.com/spreadsheets/d/1SX6NBoVAgQJ6U1MVXOaj8PK2l7WJ3RER9xtqwdhxkhw/edit#gid=346597447"",""กาญจนบุรี!J551"")"),0)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IFERROR(__xludf.DUMMYFUNCTION("IMPORTRANGE(""https://docs.google.com/spreadsheets/d/1SX6NBoVAgQJ6U1MVXOaj8PK2l7WJ3RER9xtqwdhxkhw/edit#gid=346597447"",""กาญจนบุรี!J552"")"),0)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IFERROR(__xludf.DUMMYFUNCTION("IMPORTRANGE(""https://docs.google.com/spreadsheets/d/1SX6NBoVAgQJ6U1MVXOaj8PK2l7WJ3RER9xtqwdhxkhw/edit#gid=346597447"",""กาญจนบุรี!J553"")"),0)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IFERROR(__xludf.DUMMYFUNCTION("IMPORTRANGE(""https://docs.google.com/spreadsheets/d/1SX6NBoVAgQJ6U1MVXOaj8PK2l7WJ3RER9xtqwdhxkhw/edit#gid=346597447"",""กาญจนบุรี!J554"")"),0)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IFERROR(__xludf.DUMMYFUNCTION("IMPORTRANGE(""https://docs.google.com/spreadsheets/d/1SX6NBoVAgQJ6U1MVXOaj8PK2l7WJ3RER9xtqwdhxkhw/edit#gid=346597447"",""กาญจนบุรี!J555"")"),0)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IFERROR(__xludf.DUMMYFUNCTION("IMPORTRANGE(""https://docs.google.com/spreadsheets/d/1SX6NBoVAgQJ6U1MVXOaj8PK2l7WJ3RER9xtqwdhxkhw/edit#gid=346597447"",""กาญจนบุรี!J556"")"),0)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IFERROR(__xludf.DUMMYFUNCTION("IMPORTRANGE(""https://docs.google.com/spreadsheets/d/1SX6NBoVAgQJ6U1MVXOaj8PK2l7WJ3RER9xtqwdhxkhw/edit#gid=346597447"",""กาญจนบุรี!L556"")"),0)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IFERROR(__xludf.DUMMYFUNCTION("IMPORTRANGE(""https://docs.google.com/spreadsheets/d/1SX6NBoVAgQJ6U1MVXOaj8PK2l7WJ3RER9xtqwdhxkhw/edit#gid=346597447"",""กาญจนบุรี!M556"")"),0)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IFERROR(__xludf.DUMMYFUNCTION("IMPORTRANGE(""https://docs.google.com/spreadsheets/d/1SX6NBoVAgQJ6U1MVXOaj8PK2l7WJ3RER9xtqwdhxkhw/edit#gid=346597447"",""กาญจนบุรี!J557"")"),0)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IFERROR(__xludf.DUMMYFUNCTION("IMPORTRANGE(""https://docs.google.com/spreadsheets/d/1SX6NBoVAgQJ6U1MVXOaj8PK2l7WJ3RER9xtqwdhxkhw/edit#gid=346597447"",""กาญจนบุรี!I558"")"),0)</f>
        <v>0</v>
      </c>
      <c r="J663" s="537">
        <f ca="1">IFERROR(__xludf.DUMMYFUNCTION("IMPORTRANGE(""https://docs.google.com/spreadsheets/d/1SX6NBoVAgQJ6U1MVXOaj8PK2l7WJ3RER9xtqwdhxkhw/edit#gid=346597447"",""กาญจนบุรี!J558"")"),0)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IFERROR(__xludf.DUMMYFUNCTION("IMPORTRANGE(""https://docs.google.com/spreadsheets/d/1SX6NBoVAgQJ6U1MVXOaj8PK2l7WJ3RER9xtqwdhxkhw/edit#gid=346597447"",""กาญจนบุรี!I560"")"),0)</f>
        <v>0</v>
      </c>
      <c r="J665" s="537">
        <f ca="1">IFERROR(__xludf.DUMMYFUNCTION("IMPORTRANGE(""https://docs.google.com/spreadsheets/d/1SX6NBoVAgQJ6U1MVXOaj8PK2l7WJ3RER9xtqwdhxkhw/edit#gid=346597447"",""กาญจนบุรี!J560"")"),0)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IFERROR(__xludf.DUMMYFUNCTION("IMPORTRANGE(""https://docs.google.com/spreadsheets/d/1SX6NBoVAgQJ6U1MVXOaj8PK2l7WJ3RER9xtqwdhxkhw/edit#gid=346597447"",""กาญจนบุรี!L560"")"),0)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IFERROR(__xludf.DUMMYFUNCTION("IMPORTRANGE(""https://docs.google.com/spreadsheets/d/1SX6NBoVAgQJ6U1MVXOaj8PK2l7WJ3RER9xtqwdhxkhw/edit#gid=346597447"",""กาญจนบุรี!M560"")"),0)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IFERROR(__xludf.DUMMYFUNCTION("IMPORTRANGE(""https://docs.google.com/spreadsheets/d/1SX6NBoVAgQJ6U1MVXOaj8PK2l7WJ3RER9xtqwdhxkhw/edit#gid=346597447"",""กาญจนบุรี!J561"")"),0)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IFERROR(__xludf.DUMMYFUNCTION("IMPORTRANGE(""https://docs.google.com/spreadsheets/d/1SX6NBoVAgQJ6U1MVXOaj8PK2l7WJ3RER9xtqwdhxkhw/edit#gid=346597447"",""กาญจนบุรี!J562"")"),0)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IFERROR(__xludf.DUMMYFUNCTION("IMPORTRANGE(""https://docs.google.com/spreadsheets/d/1SX6NBoVAgQJ6U1MVXOaj8PK2l7WJ3RER9xtqwdhxkhw/edit#gid=346597447"",""กาญจนบุรี!I563"")"),0)</f>
        <v>0</v>
      </c>
      <c r="J668" s="537">
        <f ca="1">IFERROR(__xludf.DUMMYFUNCTION("IMPORTRANGE(""https://docs.google.com/spreadsheets/d/1SX6NBoVAgQJ6U1MVXOaj8PK2l7WJ3RER9xtqwdhxkhw/edit#gid=346597447"",""กาญจนบุรี!J563"")"),0)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IFERROR(__xludf.DUMMYFUNCTION("IMPORTRANGE(""https://docs.google.com/spreadsheets/d/1SX6NBoVAgQJ6U1MVXOaj8PK2l7WJ3RER9xtqwdhxkhw/edit#gid=346597447"",""กาญจนบุรี!L563"")"),0)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IFERROR(__xludf.DUMMYFUNCTION("IMPORTRANGE(""https://docs.google.com/spreadsheets/d/1SX6NBoVAgQJ6U1MVXOaj8PK2l7WJ3RER9xtqwdhxkhw/edit#gid=346597447"",""กาญจนบุรี!M563"")"),0)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IFERROR(__xludf.DUMMYFUNCTION("IMPORTRANGE(""https://docs.google.com/spreadsheets/d/1SX6NBoVAgQJ6U1MVXOaj8PK2l7WJ3RER9xtqwdhxkhw/edit#gid=346597447"",""กาญจนบุรี!J564"")"),0)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IFERROR(__xludf.DUMMYFUNCTION("IMPORTRANGE(""https://docs.google.com/spreadsheets/d/1SX6NBoVAgQJ6U1MVXOaj8PK2l7WJ3RER9xtqwdhxkhw/edit#gid=346597447"",""กาญจนบุรี!J565"")"),0)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IFERROR(__xludf.DUMMYFUNCTION("IMPORTRANGE(""https://docs.google.com/spreadsheets/d/1SX6NBoVAgQJ6U1MVXOaj8PK2l7WJ3RER9xtqwdhxkhw/edit#gid=346597447"",""กาญจนบุรี!I566"")"),0)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IFERROR(__xludf.DUMMYFUNCTION("IMPORTRANGE(""https://docs.google.com/spreadsheets/d/1SX6NBoVAgQJ6U1MVXOaj8PK2l7WJ3RER9xtqwdhxkhw/edit#gid=346597447"",""กาญจนบุรี!L566"")"),0)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IFERROR(__xludf.DUMMYFUNCTION("IMPORTRANGE(""https://docs.google.com/spreadsheets/d/1SX6NBoVAgQJ6U1MVXOaj8PK2l7WJ3RER9xtqwdhxkhw/edit#gid=346597447"",""กาญจนบุรี!M566"")"),0)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IFERROR(__xludf.DUMMYFUNCTION("IMPORTRANGE(""https://docs.google.com/spreadsheets/d/1SX6NBoVAgQJ6U1MVXOaj8PK2l7WJ3RER9xtqwdhxkhw/edit#gid=346597447"",""กาญจนบุรี!J567"")"),0)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IFERROR(__xludf.DUMMYFUNCTION("IMPORTRANGE(""https://docs.google.com/spreadsheets/d/1SX6NBoVAgQJ6U1MVXOaj8PK2l7WJ3RER9xtqwdhxkhw/edit#gid=346597447"",""กาญจนบุรี!J568"")"),0)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IFERROR(__xludf.DUMMYFUNCTION("IMPORTRANGE(""https://docs.google.com/spreadsheets/d/1SX6NBoVAgQJ6U1MVXOaj8PK2l7WJ3RER9xtqwdhxkhw/edit#gid=346597447"",""กาญจนบุรี!J569"")"),0)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IFERROR(__xludf.DUMMYFUNCTION("IMPORTRANGE(""https://docs.google.com/spreadsheets/d/1SX6NBoVAgQJ6U1MVXOaj8PK2l7WJ3RER9xtqwdhxkhw/edit#gid=346597447"",""กาญจนบุรี!J570"")"),0)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IFERROR(__xludf.DUMMYFUNCTION("IMPORTRANGE(""https://docs.google.com/spreadsheets/d/1SX6NBoVAgQJ6U1MVXOaj8PK2l7WJ3RER9xtqwdhxkhw/edit#gid=346597447"",""กาญจนบุรี!J571"")"),0)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IFERROR(__xludf.DUMMYFUNCTION("IMPORTRANGE(""https://docs.google.com/spreadsheets/d/1SX6NBoVAgQJ6U1MVXOaj8PK2l7WJ3RER9xtqwdhxkhw/edit#gid=346597447"",""กาญจนบุรี!J572"")"),0)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2241095</v>
      </c>
      <c r="M8" s="23">
        <f t="shared" ca="1" si="0"/>
        <v>1965976</v>
      </c>
      <c r="N8" s="23">
        <f t="shared" ca="1" si="0"/>
        <v>1921414.1</v>
      </c>
      <c r="O8" s="22">
        <f t="shared" ref="O8:O16" ca="1" si="1">IF(L8&gt;0,N8*100/L8,0)</f>
        <v>85.735504295891076</v>
      </c>
      <c r="P8" s="22">
        <f t="shared" ref="P8:P16" ca="1" si="2">IF(M8&gt;0,N8*100/M8,0)</f>
        <v>97.73334465934478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2241095</v>
      </c>
      <c r="M10" s="30">
        <f t="shared" ca="1" si="4"/>
        <v>1965976</v>
      </c>
      <c r="N10" s="30">
        <f t="shared" ca="1" si="4"/>
        <v>1921414.1</v>
      </c>
      <c r="O10" s="29">
        <f t="shared" ca="1" si="1"/>
        <v>85.735504295891076</v>
      </c>
      <c r="P10" s="29">
        <f t="shared" ca="1" si="2"/>
        <v>97.73334465934478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2094095</v>
      </c>
      <c r="M12" s="38">
        <f t="shared" ca="1" si="6"/>
        <v>1818976</v>
      </c>
      <c r="N12" s="38">
        <f t="shared" ca="1" si="6"/>
        <v>1786414.1</v>
      </c>
      <c r="O12" s="38">
        <f t="shared" ca="1" si="1"/>
        <v>85.307213856104909</v>
      </c>
      <c r="P12" s="38">
        <f t="shared" ca="1" si="2"/>
        <v>98.209877425540526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1677900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416195</v>
      </c>
      <c r="M14" s="38">
        <f t="shared" si="8"/>
        <v>0</v>
      </c>
      <c r="N14" s="38">
        <f t="shared" ca="1" si="8"/>
        <v>257161.66</v>
      </c>
      <c r="O14" s="38">
        <f t="shared" ca="1" si="1"/>
        <v>61.788743257367337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135000</v>
      </c>
      <c r="O16" s="49">
        <f t="shared" ca="1" si="1"/>
        <v>91.836734693877546</v>
      </c>
      <c r="P16" s="49">
        <f t="shared" ca="1" si="2"/>
        <v>91.836734693877546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1916865</v>
      </c>
      <c r="M18" s="23">
        <f t="shared" ca="1" si="11"/>
        <v>1965976</v>
      </c>
      <c r="N18" s="23">
        <f t="shared" ca="1" si="11"/>
        <v>1664252.4400000002</v>
      </c>
      <c r="O18" s="22">
        <f t="shared" ref="O18:O20" ca="1" si="12">IF(L18&gt;0,N18*100/L18,0)</f>
        <v>86.821577941065243</v>
      </c>
      <c r="P18" s="22">
        <f t="shared" ref="P18:P26" ca="1" si="13">IF(M18&gt;0,N18*100/M18,0)</f>
        <v>84.652734316186994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1916865</v>
      </c>
      <c r="M20" s="30">
        <f t="shared" ca="1" si="15"/>
        <v>1965976</v>
      </c>
      <c r="N20" s="30">
        <f t="shared" ca="1" si="15"/>
        <v>1664252.4400000002</v>
      </c>
      <c r="O20" s="29">
        <f t="shared" ca="1" si="12"/>
        <v>86.821577941065243</v>
      </c>
      <c r="P20" s="29">
        <f t="shared" ca="1" si="13"/>
        <v>84.652734316186994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1769865</v>
      </c>
      <c r="M22" s="41">
        <f t="shared" ca="1" si="18"/>
        <v>1818976</v>
      </c>
      <c r="N22" s="38">
        <f t="shared" ca="1" si="18"/>
        <v>1529252.4400000002</v>
      </c>
      <c r="O22" s="38">
        <f t="shared" ca="1" si="17"/>
        <v>86.405033152246091</v>
      </c>
      <c r="P22" s="38">
        <f t="shared" ca="1" si="13"/>
        <v>84.072161479865613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1677900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91965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135000</v>
      </c>
      <c r="O26" s="49">
        <f t="shared" ca="1" si="17"/>
        <v>91.836734693877546</v>
      </c>
      <c r="P26" s="49">
        <f t="shared" ca="1" si="13"/>
        <v>91.836734693877546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324230</v>
      </c>
      <c r="M28" s="23">
        <f t="shared" si="23"/>
        <v>0</v>
      </c>
      <c r="N28" s="23">
        <f t="shared" ca="1" si="23"/>
        <v>257161.66</v>
      </c>
      <c r="O28" s="22">
        <f t="shared" ref="O28:O30" ca="1" si="24">IF(L28&gt;0,N28*100/L28,0)</f>
        <v>79.31457915677143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324230</v>
      </c>
      <c r="M30" s="30">
        <f t="shared" si="27"/>
        <v>0</v>
      </c>
      <c r="N30" s="30">
        <f t="shared" ca="1" si="27"/>
        <v>257161.66</v>
      </c>
      <c r="O30" s="29">
        <f t="shared" ca="1" si="24"/>
        <v>79.31457915677143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324230</v>
      </c>
      <c r="M32" s="38">
        <f t="shared" si="30"/>
        <v>0</v>
      </c>
      <c r="N32" s="38">
        <f t="shared" ca="1" si="30"/>
        <v>257161.66</v>
      </c>
      <c r="O32" s="38">
        <f t="shared" ca="1" si="29"/>
        <v>79.31457915677143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324230</v>
      </c>
      <c r="M34" s="38">
        <f t="shared" si="32"/>
        <v>0</v>
      </c>
      <c r="N34" s="38">
        <f t="shared" ca="1" si="32"/>
        <v>257161.66</v>
      </c>
      <c r="O34" s="38">
        <f t="shared" ca="1" si="29"/>
        <v>79.31457915677143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1916865</v>
      </c>
      <c r="M37" s="54">
        <f t="shared" ca="1" si="33"/>
        <v>1965976</v>
      </c>
      <c r="N37" s="54">
        <f t="shared" ca="1" si="33"/>
        <v>1664252.4400000002</v>
      </c>
      <c r="O37" s="55">
        <f t="shared" ca="1" si="29"/>
        <v>86.821577941065243</v>
      </c>
      <c r="P37" s="55">
        <f t="shared" ca="1" si="25"/>
        <v>84.652734316186994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884100</v>
      </c>
      <c r="N41" s="78">
        <f t="shared" ca="1" si="34"/>
        <v>793814.18</v>
      </c>
      <c r="O41" s="77">
        <f t="shared" ref="O41:O43" ca="1" si="35">IF(L41&gt;0,N41*100/L41,0)</f>
        <v>89.787827168872298</v>
      </c>
      <c r="P41" s="77">
        <f t="shared" ref="P41:P43" ca="1" si="36">IF(M41&gt;0,N41*100/M41,0)</f>
        <v>89.787827168872298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884100</v>
      </c>
      <c r="N43" s="78">
        <f t="shared" ca="1" si="38"/>
        <v>793814.18</v>
      </c>
      <c r="O43" s="77">
        <f t="shared" ca="1" si="35"/>
        <v>89.787827168872298</v>
      </c>
      <c r="P43" s="77">
        <f t="shared" ca="1" si="36"/>
        <v>89.787827168872298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884100</v>
      </c>
      <c r="M45" s="49">
        <f ca="1">IFERROR(__xludf.DUMMYFUNCTION("IMPORTRANGE(""https://docs.google.com/spreadsheets/d/1Yj_ptqi66GCucihVvJfMjLAmec39IyEx_6qawtMGysU/edit?usp=sharing"",""สบก!Q77"")"),884100)</f>
        <v>884100</v>
      </c>
      <c r="N45" s="49">
        <f ca="1">IFERROR(__xludf.DUMMYFUNCTION("IMPORTRANGE(""https://docs.google.com/spreadsheets/d/1Yj_ptqi66GCucihVvJfMjLAmec39IyEx_6qawtMGysU/edit?usp=sharing"",""สบก!R77"")"),793814.18)</f>
        <v>793814.18</v>
      </c>
      <c r="O45" s="38">
        <f ca="1">IF(L45&gt;0,N45*100/L45,0)</f>
        <v>89.787827168872298</v>
      </c>
      <c r="P45" s="38">
        <f ca="1">IF(M45&gt;0,N45*100/M45,0)</f>
        <v>89.787827168872298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IFERROR(__xludf.DUMMYFUNCTION("IMPORTRANGE(""https://docs.google.com/spreadsheets/d/1Yj_ptqi66GCucihVvJfMjLAmec39IyEx_6qawtMGysU/edit?usp=sharing"",""สบก!M77"")"),884100)</f>
        <v>884100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IFERROR(__xludf.DUMMYFUNCTION("IMPORTRANGE(""https://docs.google.com/spreadsheets/d/1Yj_ptqi66GCucihVvJfMjLAmec39IyEx_6qawtMGysU/edit?usp=sharing"",""สบก!O77"")"),0)</f>
        <v>0</v>
      </c>
      <c r="M49" s="49"/>
      <c r="N49" s="49">
        <f ca="1">IFERROR(__xludf.DUMMYFUNCTION("IMPORTRANGE(""https://docs.google.com/spreadsheets/d/1Yj_ptqi66GCucihVvJfMjLAmec39IyEx_6qawtMGysU/edit?usp=sharing"",""สบก!S77"")"),0)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300000</v>
      </c>
      <c r="M53" s="121">
        <f t="shared" ca="1" si="39"/>
        <v>314111</v>
      </c>
      <c r="N53" s="121">
        <f t="shared" ca="1" si="39"/>
        <v>261011</v>
      </c>
      <c r="O53" s="120">
        <f t="shared" ref="O53:O55" ca="1" si="40">IF(L53&gt;0,N53*100/L53,0)</f>
        <v>87.00366666666666</v>
      </c>
      <c r="P53" s="120">
        <f t="shared" ref="P53:P55" ca="1" si="41">IF(M53&gt;0,N53*100/M53,0)</f>
        <v>83.095147893579025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300000</v>
      </c>
      <c r="M55" s="121">
        <f t="shared" ca="1" si="43"/>
        <v>314111</v>
      </c>
      <c r="N55" s="121">
        <f t="shared" ca="1" si="43"/>
        <v>261011</v>
      </c>
      <c r="O55" s="120">
        <f t="shared" ca="1" si="40"/>
        <v>87.00366666666666</v>
      </c>
      <c r="P55" s="120">
        <f t="shared" ca="1" si="41"/>
        <v>83.095147893579025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300000</v>
      </c>
      <c r="M57" s="49">
        <f ca="1">IFERROR(__xludf.DUMMYFUNCTION("IMPORTRANGE(""https://docs.google.com/spreadsheets/d/1Yj_ptqi66GCucihVvJfMjLAmec39IyEx_6qawtMGysU/edit?usp=sharing"",""สบก!Z77"")"),314111)</f>
        <v>314111</v>
      </c>
      <c r="N57" s="49">
        <f ca="1">IFERROR(__xludf.DUMMYFUNCTION("IMPORTRANGE(""https://docs.google.com/spreadsheets/d/1Yj_ptqi66GCucihVvJfMjLAmec39IyEx_6qawtMGysU/edit?usp=sharing"",""สบก!AA77"")"),261011)</f>
        <v>261011</v>
      </c>
      <c r="O57" s="38">
        <f ca="1">IF(L57&gt;0,N57*100/L57,0)</f>
        <v>87.00366666666666</v>
      </c>
      <c r="P57" s="38">
        <f ca="1">IF(M57&gt;0,N57*100/M57,0)</f>
        <v>83.095147893579025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IFERROR(__xludf.DUMMYFUNCTION("IMPORTRANGE(""https://docs.google.com/spreadsheets/d/1Yj_ptqi66GCucihVvJfMjLAmec39IyEx_6qawtMGysU/edit?usp=sharing"",""สบก!V77"")"),300000)</f>
        <v>300000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IFERROR(__xludf.DUMMYFUNCTION("IMPORTRANGE(""https://docs.google.com/spreadsheets/d/1Yj_ptqi66GCucihVvJfMjLAmec39IyEx_6qawtMGysU/edit?usp=sharing"",""สบก!X77"")"),0)</f>
        <v>0</v>
      </c>
      <c r="M61" s="49"/>
      <c r="N61" s="49">
        <f ca="1">IFERROR(__xludf.DUMMYFUNCTION("IMPORTRANGE(""https://docs.google.com/spreadsheets/d/1Yj_ptqi66GCucihVvJfMjLAmec39IyEx_6qawtMGysU/edit?usp=sharing"",""สบก!AB77"")"),0)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IFERROR(__xludf.DUMMYFUNCTION("IMPORTRANGE(""https://docs.google.com/spreadsheets/d/1SX6NBoVAgQJ6U1MVXOaj8PK2l7WJ3RER9xtqwdhxkhw/edit?usp=sharing"",""สิงห์บุรี!I9"")"),0)</f>
        <v>0</v>
      </c>
      <c r="J64" s="142">
        <f ca="1">IFERROR(__xludf.DUMMYFUNCTION("IMPORTRANGE(""https://docs.google.com/spreadsheets/d/1SX6NBoVAgQJ6U1MVXOaj8PK2l7WJ3RER9xtqwdhxkhw/edit?usp=sharing"",""สิงห์บุรี!J9"")"),0)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IFERROR(__xludf.DUMMYFUNCTION("IMPORTRANGE(""https://docs.google.com/spreadsheets/d/1SX6NBoVAgQJ6U1MVXOaj8PK2l7WJ3RER9xtqwdhxkhw/edit?usp=sharing"",""สิงห์บุรี!I10"")"),0)</f>
        <v>0</v>
      </c>
      <c r="J65" s="142">
        <f ca="1">IFERROR(__xludf.DUMMYFUNCTION("IMPORTRANGE(""https://docs.google.com/spreadsheets/d/1SX6NBoVAgQJ6U1MVXOaj8PK2l7WJ3RER9xtqwdhxkhw/edit?usp=sharing"",""สิงห์บุรี!J10"")"),0)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IFERROR(__xludf.DUMMYFUNCTION("IMPORTRANGE(""https://docs.google.com/spreadsheets/d/1Yj_ptqi66GCucihVvJfMjLAmec39IyEx_6qawtMGysU/edit?usp=sharing"",""สบก!AI77"")"),0)</f>
        <v>0</v>
      </c>
      <c r="N70" s="169">
        <f ca="1">IFERROR(__xludf.DUMMYFUNCTION("IMPORTRANGE(""https://docs.google.com/spreadsheets/d/1Yj_ptqi66GCucihVvJfMjLAmec39IyEx_6qawtMGysU/edit?usp=sharing"",""สบก!AJ77"")"),0)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IFERROR(__xludf.DUMMYFUNCTION("IMPORTRANGE(""https://docs.google.com/spreadsheets/d/1Yj_ptqi66GCucihVvJfMjLAmec39IyEx_6qawtMGysU/edit?usp=sharing"",""สบก!AG77"")"),0)</f>
        <v>0</v>
      </c>
      <c r="M74" s="49"/>
      <c r="N74" s="49">
        <f ca="1">IFERROR(__xludf.DUMMYFUNCTION("IMPORTRANGE(""https://docs.google.com/spreadsheets/d/1Yj_ptqi66GCucihVvJfMjLAmec39IyEx_6qawtMGysU/edit?usp=sharing"",""สบก!AK77"")"),0)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IFERROR(__xludf.DUMMYFUNCTION("IMPORTRANGE(""https://docs.google.com/spreadsheets/d/1SX6NBoVAgQJ6U1MVXOaj8PK2l7WJ3RER9xtqwdhxkhw/edit?usp=sharing"",""สิงห์บุรี!J16"")"),0)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IFERROR(__xludf.DUMMYFUNCTION("IMPORTRANGE(""https://docs.google.com/spreadsheets/d/1SX6NBoVAgQJ6U1MVXOaj8PK2l7WJ3RER9xtqwdhxkhw/edit?usp=sharing"",""สิงห์บุรี!J17"")"),0)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IFERROR(__xludf.DUMMYFUNCTION("IMPORTRANGE(""https://docs.google.com/spreadsheets/d/1SX6NBoVAgQJ6U1MVXOaj8PK2l7WJ3RER9xtqwdhxkhw/edit?usp=sharing"",""สิงห์บุรี!J18"")"),0)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IFERROR(__xludf.DUMMYFUNCTION("IMPORTRANGE(""https://docs.google.com/spreadsheets/d/1SX6NBoVAgQJ6U1MVXOaj8PK2l7WJ3RER9xtqwdhxkhw/edit?usp=sharing"",""สิงห์บุรี!J19"")"),0)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IFERROR(__xludf.DUMMYFUNCTION("IMPORTRANGE(""https://docs.google.com/spreadsheets/d/1SX6NBoVAgQJ6U1MVXOaj8PK2l7WJ3RER9xtqwdhxkhw/edit?usp=sharing"",""สิงห์บุรี!I20"")"),0)</f>
        <v>0</v>
      </c>
      <c r="J80" s="201">
        <f ca="1">IFERROR(__xludf.DUMMYFUNCTION("IMPORTRANGE(""https://docs.google.com/spreadsheets/d/1SX6NBoVAgQJ6U1MVXOaj8PK2l7WJ3RER9xtqwdhxkhw/edit?usp=sharing"",""สิงห์บุรี!J20"")"),0)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IFERROR(__xludf.DUMMYFUNCTION("IMPORTRANGE(""https://docs.google.com/spreadsheets/d/1SX6NBoVAgQJ6U1MVXOaj8PK2l7WJ3RER9xtqwdhxkhw/edit?usp=sharing"",""สิงห์บุรี!I21"")"),0)</f>
        <v>0</v>
      </c>
      <c r="J81" s="201">
        <f ca="1">IFERROR(__xludf.DUMMYFUNCTION("IMPORTRANGE(""https://docs.google.com/spreadsheets/d/1SX6NBoVAgQJ6U1MVXOaj8PK2l7WJ3RER9xtqwdhxkhw/edit?usp=sharing"",""สิงห์บุรี!J21"")"),0)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IFERROR(__xludf.DUMMYFUNCTION("IMPORTRANGE(""https://docs.google.com/spreadsheets/d/1SX6NBoVAgQJ6U1MVXOaj8PK2l7WJ3RER9xtqwdhxkhw/edit?usp=sharing"",""สิงห์บุรี!I22"")"),0)</f>
        <v>0</v>
      </c>
      <c r="J82" s="204">
        <f ca="1">IFERROR(__xludf.DUMMYFUNCTION("IMPORTRANGE(""https://docs.google.com/spreadsheets/d/1SX6NBoVAgQJ6U1MVXOaj8PK2l7WJ3RER9xtqwdhxkhw/edit?usp=sharing"",""สิงห์บุรี!J22"")"),0)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IFERROR(__xludf.DUMMYFUNCTION("IMPORTRANGE(""https://docs.google.com/spreadsheets/d/1SX6NBoVAgQJ6U1MVXOaj8PK2l7WJ3RER9xtqwdhxkhw/edit?usp=sharing"",""สิงห์บุรี!I23"")"),0)</f>
        <v>0</v>
      </c>
      <c r="J83" s="204">
        <f ca="1">IFERROR(__xludf.DUMMYFUNCTION("IMPORTRANGE(""https://docs.google.com/spreadsheets/d/1SX6NBoVAgQJ6U1MVXOaj8PK2l7WJ3RER9xtqwdhxkhw/edit?usp=sharing"",""สิงห์บุรี!J23"")"),0)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IFERROR(__xludf.DUMMYFUNCTION("IMPORTRANGE(""https://docs.google.com/spreadsheets/d/1SX6NBoVAgQJ6U1MVXOaj8PK2l7WJ3RER9xtqwdhxkhw/edit?usp=sharing"",""สิงห์บุรี!I24"")"),0)</f>
        <v>0</v>
      </c>
      <c r="J84" s="189">
        <f ca="1">IFERROR(__xludf.DUMMYFUNCTION("IMPORTRANGE(""https://docs.google.com/spreadsheets/d/1SX6NBoVAgQJ6U1MVXOaj8PK2l7WJ3RER9xtqwdhxkhw/edit?usp=sharing"",""สิงห์บุรี!J24"")"),0)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IFERROR(__xludf.DUMMYFUNCTION("IMPORTRANGE(""https://docs.google.com/spreadsheets/d/1SX6NBoVAgQJ6U1MVXOaj8PK2l7WJ3RER9xtqwdhxkhw/edit?usp=sharing"",""สิงห์บุรี!I25"")"),0)</f>
        <v>0</v>
      </c>
      <c r="J85" s="189">
        <f ca="1">IFERROR(__xludf.DUMMYFUNCTION("IMPORTRANGE(""https://docs.google.com/spreadsheets/d/1SX6NBoVAgQJ6U1MVXOaj8PK2l7WJ3RER9xtqwdhxkhw/edit?usp=sharing"",""สิงห์บุรี!J25"")"),0)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IFERROR(__xludf.DUMMYFUNCTION("IMPORTRANGE(""https://docs.google.com/spreadsheets/d/1SX6NBoVAgQJ6U1MVXOaj8PK2l7WJ3RER9xtqwdhxkhw/edit?usp=sharing"",""สิงห์บุรี!I26"")"),0)</f>
        <v>0</v>
      </c>
      <c r="J86" s="204">
        <f ca="1">IFERROR(__xludf.DUMMYFUNCTION("IMPORTRANGE(""https://docs.google.com/spreadsheets/d/1SX6NBoVAgQJ6U1MVXOaj8PK2l7WJ3RER9xtqwdhxkhw/edit?usp=sharing"",""สิงห์บุรี!J26"")"),0)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IFERROR(__xludf.DUMMYFUNCTION("IMPORTRANGE(""https://docs.google.com/spreadsheets/d/1SX6NBoVAgQJ6U1MVXOaj8PK2l7WJ3RER9xtqwdhxkhw/edit?usp=sharing"",""สิงห์บุรี!I27"")"),0)</f>
        <v>0</v>
      </c>
      <c r="J87" s="204">
        <f ca="1">IFERROR(__xludf.DUMMYFUNCTION("IMPORTRANGE(""https://docs.google.com/spreadsheets/d/1SX6NBoVAgQJ6U1MVXOaj8PK2l7WJ3RER9xtqwdhxkhw/edit?usp=sharing"",""สิงห์บุรี!J27"")"),0)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IFERROR(__xludf.DUMMYFUNCTION("IMPORTRANGE(""https://docs.google.com/spreadsheets/d/1SX6NBoVAgQJ6U1MVXOaj8PK2l7WJ3RER9xtqwdhxkhw/edit?usp=sharing"",""สิงห์บุรี!I28"")"),0)</f>
        <v>0</v>
      </c>
      <c r="J88" s="204">
        <f ca="1">IFERROR(__xludf.DUMMYFUNCTION("IMPORTRANGE(""https://docs.google.com/spreadsheets/d/1SX6NBoVAgQJ6U1MVXOaj8PK2l7WJ3RER9xtqwdhxkhw/edit?usp=sharing"",""สิงห์บุรี!J28"")"),0)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IFERROR(__xludf.DUMMYFUNCTION("IMPORTRANGE(""https://docs.google.com/spreadsheets/d/1SX6NBoVAgQJ6U1MVXOaj8PK2l7WJ3RER9xtqwdhxkhw/edit?usp=sharing"",""สิงห์บุรี!J29"")"),0)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IFERROR(__xludf.DUMMYFUNCTION("IMPORTRANGE(""https://docs.google.com/spreadsheets/d/1SX6NBoVAgQJ6U1MVXOaj8PK2l7WJ3RER9xtqwdhxkhw/edit?usp=sharing"",""สิงห์บุรี!J30"")"),0)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IFERROR(__xludf.DUMMYFUNCTION("IMPORTRANGE(""https://docs.google.com/spreadsheets/d/1SX6NBoVAgQJ6U1MVXOaj8PK2l7WJ3RER9xtqwdhxkhw/edit?usp=sharing"",""สิงห์บุรี!I32"")"),0)</f>
        <v>0</v>
      </c>
      <c r="J92" s="142">
        <f ca="1">IFERROR(__xludf.DUMMYFUNCTION("IMPORTRANGE(""https://docs.google.com/spreadsheets/d/1SX6NBoVAgQJ6U1MVXOaj8PK2l7WJ3RER9xtqwdhxkhw/edit?usp=sharing"",""สิงห์บุรี!J32"")"),0)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IFERROR(__xludf.DUMMYFUNCTION("IMPORTRANGE(""https://docs.google.com/spreadsheets/d/1SX6NBoVAgQJ6U1MVXOaj8PK2l7WJ3RER9xtqwdhxkhw/edit?usp=sharing"",""สิงห์บุรี!I33"")"),0)</f>
        <v>0</v>
      </c>
      <c r="J93" s="142">
        <f ca="1">IFERROR(__xludf.DUMMYFUNCTION("IMPORTRANGE(""https://docs.google.com/spreadsheets/d/1SX6NBoVAgQJ6U1MVXOaj8PK2l7WJ3RER9xtqwdhxkhw/edit?usp=sharing"",""สิงห์บุรี!J33"")"),0)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IFERROR(__xludf.DUMMYFUNCTION("IMPORTRANGE(""https://docs.google.com/spreadsheets/d/1Yj_ptqi66GCucihVvJfMjLAmec39IyEx_6qawtMGysU/edit?usp=sharing"",""สบก!AR77"")"),0)</f>
        <v>0</v>
      </c>
      <c r="N98" s="169">
        <f ca="1">IFERROR(__xludf.DUMMYFUNCTION("IMPORTRANGE(""https://docs.google.com/spreadsheets/d/1Yj_ptqi66GCucihVvJfMjLAmec39IyEx_6qawtMGysU/edit?usp=sharing"",""สบก!AS77"")"),0)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IFERROR(__xludf.DUMMYFUNCTION("IMPORTRANGE(""https://docs.google.com/spreadsheets/d/1Yj_ptqi66GCucihVvJfMjLAmec39IyEx_6qawtMGysU/edit?usp=sharing"",""สบก!AO77"")"),0)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IFERROR(__xludf.DUMMYFUNCTION("IMPORTRANGE(""https://docs.google.com/spreadsheets/d/1Yj_ptqi66GCucihVvJfMjLAmec39IyEx_6qawtMGysU/edit?usp=sharing"",""สบก!AP77"")"),0)</f>
        <v>0</v>
      </c>
      <c r="M102" s="49"/>
      <c r="N102" s="49">
        <f ca="1">IFERROR(__xludf.DUMMYFUNCTION("IMPORTRANGE(""https://docs.google.com/spreadsheets/d/1Yj_ptqi66GCucihVvJfMjLAmec39IyEx_6qawtMGysU/edit?usp=sharing"",""สบก!AT77"")"),0)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IFERROR(__xludf.DUMMYFUNCTION("IMPORTRANGE(""https://docs.google.com/spreadsheets/d/1SX6NBoVAgQJ6U1MVXOaj8PK2l7WJ3RER9xtqwdhxkhw/edit?usp=sharing"",""สิงห์บุรี!J39"")"),0)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IFERROR(__xludf.DUMMYFUNCTION("IMPORTRANGE(""https://docs.google.com/spreadsheets/d/1SX6NBoVAgQJ6U1MVXOaj8PK2l7WJ3RER9xtqwdhxkhw/edit?usp=sharing"",""สิงห์บุรี!J40"")"),0)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IFERROR(__xludf.DUMMYFUNCTION("IMPORTRANGE(""https://docs.google.com/spreadsheets/d/1SX6NBoVAgQJ6U1MVXOaj8PK2l7WJ3RER9xtqwdhxkhw/edit?usp=sharing"",""สิงห์บุรี!J41"")"),0)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IFERROR(__xludf.DUMMYFUNCTION("IMPORTRANGE(""https://docs.google.com/spreadsheets/d/1SX6NBoVAgQJ6U1MVXOaj8PK2l7WJ3RER9xtqwdhxkhw/edit?usp=sharing"",""สิงห์บุรี!J42"")"),0)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IFERROR(__xludf.DUMMYFUNCTION("IMPORTRANGE(""https://docs.google.com/spreadsheets/d/1SX6NBoVAgQJ6U1MVXOaj8PK2l7WJ3RER9xtqwdhxkhw/edit?usp=sharing"",""สิงห์บุรี!I43"")"),0)</f>
        <v>0</v>
      </c>
      <c r="J108" s="204">
        <f ca="1">IFERROR(__xludf.DUMMYFUNCTION("IMPORTRANGE(""https://docs.google.com/spreadsheets/d/1SX6NBoVAgQJ6U1MVXOaj8PK2l7WJ3RER9xtqwdhxkhw/edit?usp=sharing"",""สิงห์บุรี!J43"")"),0)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IFERROR(__xludf.DUMMYFUNCTION("IMPORTRANGE(""https://docs.google.com/spreadsheets/d/1SX6NBoVAgQJ6U1MVXOaj8PK2l7WJ3RER9xtqwdhxkhw/edit?usp=sharing"",""สิงห์บุรี!I44"")"),0)</f>
        <v>0</v>
      </c>
      <c r="J109" s="204">
        <f ca="1">IFERROR(__xludf.DUMMYFUNCTION("IMPORTRANGE(""https://docs.google.com/spreadsheets/d/1SX6NBoVAgQJ6U1MVXOaj8PK2l7WJ3RER9xtqwdhxkhw/edit?usp=sharing"",""สิงห์บุรี!J44"")"),0)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IFERROR(__xludf.DUMMYFUNCTION("IMPORTRANGE(""https://docs.google.com/spreadsheets/d/1SX6NBoVAgQJ6U1MVXOaj8PK2l7WJ3RER9xtqwdhxkhw/edit?usp=sharing"",""สิงห์บุรี!I45"")"),0)</f>
        <v>0</v>
      </c>
      <c r="J110" s="204">
        <f ca="1">IFERROR(__xludf.DUMMYFUNCTION("IMPORTRANGE(""https://docs.google.com/spreadsheets/d/1SX6NBoVAgQJ6U1MVXOaj8PK2l7WJ3RER9xtqwdhxkhw/edit?usp=sharing"",""สิงห์บุรี!J45"")"),0)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IFERROR(__xludf.DUMMYFUNCTION("IMPORTRANGE(""https://docs.google.com/spreadsheets/d/1SX6NBoVAgQJ6U1MVXOaj8PK2l7WJ3RER9xtqwdhxkhw/edit?usp=sharing"",""สิงห์บุรี!I46"")"),0)</f>
        <v>0</v>
      </c>
      <c r="J111" s="204">
        <f ca="1">IFERROR(__xludf.DUMMYFUNCTION("IMPORTRANGE(""https://docs.google.com/spreadsheets/d/1SX6NBoVAgQJ6U1MVXOaj8PK2l7WJ3RER9xtqwdhxkhw/edit?usp=sharing"",""สิงห์บุรี!J46"")"),0)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IFERROR(__xludf.DUMMYFUNCTION("IMPORTRANGE(""https://docs.google.com/spreadsheets/d/1SX6NBoVAgQJ6U1MVXOaj8PK2l7WJ3RER9xtqwdhxkhw/edit?usp=sharing"",""สิงห์บุรี!I47"")"),0)</f>
        <v>0</v>
      </c>
      <c r="J112" s="204">
        <f ca="1">IFERROR(__xludf.DUMMYFUNCTION("IMPORTRANGE(""https://docs.google.com/spreadsheets/d/1SX6NBoVAgQJ6U1MVXOaj8PK2l7WJ3RER9xtqwdhxkhw/edit?usp=sharing"",""สิงห์บุรี!J47"")"),0)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IFERROR(__xludf.DUMMYFUNCTION("IMPORTRANGE(""https://docs.google.com/spreadsheets/d/1SX6NBoVAgQJ6U1MVXOaj8PK2l7WJ3RER9xtqwdhxkhw/edit?usp=sharing"",""สิงห์บุรี!I48"")"),0)</f>
        <v>0</v>
      </c>
      <c r="J113" s="204">
        <f ca="1">IFERROR(__xludf.DUMMYFUNCTION("IMPORTRANGE(""https://docs.google.com/spreadsheets/d/1SX6NBoVAgQJ6U1MVXOaj8PK2l7WJ3RER9xtqwdhxkhw/edit?usp=sharing"",""สิงห์บุรี!J48"")"),0)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IFERROR(__xludf.DUMMYFUNCTION("IMPORTRANGE(""https://docs.google.com/spreadsheets/d/1SX6NBoVAgQJ6U1MVXOaj8PK2l7WJ3RER9xtqwdhxkhw/edit?usp=sharing"",""สิงห์บุรี!J49"")"),0)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IFERROR(__xludf.DUMMYFUNCTION("IMPORTRANGE(""https://docs.google.com/spreadsheets/d/1SX6NBoVAgQJ6U1MVXOaj8PK2l7WJ3RER9xtqwdhxkhw/edit?usp=sharing"",""สิงห์บุรี!J50"")"),0)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IFERROR(__xludf.DUMMYFUNCTION("IMPORTRANGE(""https://docs.google.com/spreadsheets/d/1SX6NBoVAgQJ6U1MVXOaj8PK2l7WJ3RER9xtqwdhxkhw/edit?usp=sharing"",""สิงห์บุรี!I52"")"),0)</f>
        <v>0</v>
      </c>
      <c r="J117" s="142">
        <f ca="1">IFERROR(__xludf.DUMMYFUNCTION("IMPORTRANGE(""https://docs.google.com/spreadsheets/d/1SX6NBoVAgQJ6U1MVXOaj8PK2l7WJ3RER9xtqwdhxkhw/edit?usp=sharing"",""สิงห์บุรี!J52"")"),0)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IFERROR(__xludf.DUMMYFUNCTION("IMPORTRANGE(""https://docs.google.com/spreadsheets/d/1Yj_ptqi66GCucihVvJfMjLAmec39IyEx_6qawtMGysU/edit?usp=sharing"",""สบก!BA77"")"),0)</f>
        <v>0</v>
      </c>
      <c r="N122" s="169">
        <f ca="1">IFERROR(__xludf.DUMMYFUNCTION("IMPORTRANGE(""https://docs.google.com/spreadsheets/d/1Yj_ptqi66GCucihVvJfMjLAmec39IyEx_6qawtMGysU/edit?usp=sharing"",""สบก!BB77"")"),0)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IFERROR(__xludf.DUMMYFUNCTION("IMPORTRANGE(""https://docs.google.com/spreadsheets/d/1Yj_ptqi66GCucihVvJfMjLAmec39IyEx_6qawtMGysU/edit?usp=sharing"",""สบก!AY77"")"),0)</f>
        <v>0</v>
      </c>
      <c r="M126" s="49"/>
      <c r="N126" s="49">
        <f ca="1">IFERROR(__xludf.DUMMYFUNCTION("IMPORTRANGE(""https://docs.google.com/spreadsheets/d/1Yj_ptqi66GCucihVvJfMjLAmec39IyEx_6qawtMGysU/edit?usp=sharing"",""สบก!BC77"")"),0)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IFERROR(__xludf.DUMMYFUNCTION("IMPORTRANGE(""https://docs.google.com/spreadsheets/d/1SX6NBoVAgQJ6U1MVXOaj8PK2l7WJ3RER9xtqwdhxkhw/edit?usp=sharing"",""สิงห์บุรี!J58"")"),0)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IFERROR(__xludf.DUMMYFUNCTION("IMPORTRANGE(""https://docs.google.com/spreadsheets/d/1SX6NBoVAgQJ6U1MVXOaj8PK2l7WJ3RER9xtqwdhxkhw/edit?usp=sharing"",""สิงห์บุรี!J59"")"),0)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IFERROR(__xludf.DUMMYFUNCTION("IMPORTRANGE(""https://docs.google.com/spreadsheets/d/1SX6NBoVAgQJ6U1MVXOaj8PK2l7WJ3RER9xtqwdhxkhw/edit?usp=sharing"",""สิงห์บุรี!J60"")"),0)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IFERROR(__xludf.DUMMYFUNCTION("IMPORTRANGE(""https://docs.google.com/spreadsheets/d/1SX6NBoVAgQJ6U1MVXOaj8PK2l7WJ3RER9xtqwdhxkhw/edit?usp=sharing"",""สิงห์บุรี!J61"")"),0)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IFERROR(__xludf.DUMMYFUNCTION("IMPORTRANGE(""https://docs.google.com/spreadsheets/d/1SX6NBoVAgQJ6U1MVXOaj8PK2l7WJ3RER9xtqwdhxkhw/edit?usp=sharing"",""สิงห์บุรี!I62"")"),0)</f>
        <v>0</v>
      </c>
      <c r="J132" s="204">
        <f ca="1">IFERROR(__xludf.DUMMYFUNCTION("IMPORTRANGE(""https://docs.google.com/spreadsheets/d/1SX6NBoVAgQJ6U1MVXOaj8PK2l7WJ3RER9xtqwdhxkhw/edit?usp=sharing"",""สิงห์บุรี!J62"")"),0)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IFERROR(__xludf.DUMMYFUNCTION("IMPORTRANGE(""https://docs.google.com/spreadsheets/d/1SX6NBoVAgQJ6U1MVXOaj8PK2l7WJ3RER9xtqwdhxkhw/edit?usp=sharing"",""สิงห์บุรี!I63"")"),0)</f>
        <v>0</v>
      </c>
      <c r="J133" s="204">
        <f ca="1">IFERROR(__xludf.DUMMYFUNCTION("IMPORTRANGE(""https://docs.google.com/spreadsheets/d/1SX6NBoVAgQJ6U1MVXOaj8PK2l7WJ3RER9xtqwdhxkhw/edit?usp=sharing"",""สิงห์บุรี!J63"")"),0)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IFERROR(__xludf.DUMMYFUNCTION("IMPORTRANGE(""https://docs.google.com/spreadsheets/d/1SX6NBoVAgQJ6U1MVXOaj8PK2l7WJ3RER9xtqwdhxkhw/edit?usp=sharing"",""สิงห์บุรี!J64"")"),0)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IFERROR(__xludf.DUMMYFUNCTION("IMPORTRANGE(""https://docs.google.com/spreadsheets/d/1SX6NBoVAgQJ6U1MVXOaj8PK2l7WJ3RER9xtqwdhxkhw/edit?usp=sharing"",""สิงห์บุรี!J65"")"),0)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IFERROR(__xludf.DUMMYFUNCTION("IMPORTRANGE(""https://docs.google.com/spreadsheets/d/1SX6NBoVAgQJ6U1MVXOaj8PK2l7WJ3RER9xtqwdhxkhw/edit?usp=sharing"",""สิงห์บุรี!I68"")"),0)</f>
        <v>0</v>
      </c>
      <c r="J138" s="268">
        <f ca="1">IFERROR(__xludf.DUMMYFUNCTION("IMPORTRANGE(""https://docs.google.com/spreadsheets/d/1SX6NBoVAgQJ6U1MVXOaj8PK2l7WJ3RER9xtqwdhxkhw/edit?usp=sharing"",""สิงห์บุรี!J68"")"),0)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28700</v>
      </c>
      <c r="M140" s="152">
        <f t="shared" ca="1" si="64"/>
        <v>28700</v>
      </c>
      <c r="N140" s="152">
        <f t="shared" ca="1" si="64"/>
        <v>27518</v>
      </c>
      <c r="O140" s="151">
        <f t="shared" ref="O140:O142" ca="1" si="65">IF(L140&gt;0,N140*100/L140,0)</f>
        <v>95.881533101045292</v>
      </c>
      <c r="P140" s="151">
        <f t="shared" ref="P140:P142" ca="1" si="66">IF(M140&gt;0,N140*100/M140,0)</f>
        <v>95.881533101045292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28700</v>
      </c>
      <c r="M142" s="157">
        <f t="shared" ca="1" si="68"/>
        <v>28700</v>
      </c>
      <c r="N142" s="157">
        <f t="shared" ca="1" si="68"/>
        <v>27518</v>
      </c>
      <c r="O142" s="156">
        <f t="shared" ca="1" si="65"/>
        <v>95.881533101045292</v>
      </c>
      <c r="P142" s="156">
        <f t="shared" ca="1" si="66"/>
        <v>95.881533101045292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28700</v>
      </c>
      <c r="M144" s="168">
        <f ca="1">IFERROR(__xludf.DUMMYFUNCTION("IMPORTRANGE(""https://docs.google.com/spreadsheets/d/1Yj_ptqi66GCucihVvJfMjLAmec39IyEx_6qawtMGysU/edit?usp=sharing"",""สบก!BJ77"")"),28700)</f>
        <v>28700</v>
      </c>
      <c r="N144" s="169">
        <f ca="1">IFERROR(__xludf.DUMMYFUNCTION("IMPORTRANGE(""https://docs.google.com/spreadsheets/d/1Yj_ptqi66GCucihVvJfMjLAmec39IyEx_6qawtMGysU/edit?usp=sharing"",""สบก!BK77"")"),27518)</f>
        <v>27518</v>
      </c>
      <c r="O144" s="169">
        <f ca="1">IF(L144&gt;0,N144*100/L144,0)</f>
        <v>95.881533101045292</v>
      </c>
      <c r="P144" s="169">
        <f ca="1">IF(M144&gt;0,N144*100/M144,0)</f>
        <v>95.881533101045292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IFERROR(__xludf.DUMMYFUNCTION("IMPORTRANGE(""https://docs.google.com/spreadsheets/d/1Yj_ptqi66GCucihVvJfMjLAmec39IyEx_6qawtMGysU/edit?usp=sharing"",""สบก!BG77"")"),28700)</f>
        <v>28700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IFERROR(__xludf.DUMMYFUNCTION("IMPORTRANGE(""https://docs.google.com/spreadsheets/d/1Yj_ptqi66GCucihVvJfMjLAmec39IyEx_6qawtMGysU/edit?usp=sharing"",""สบก!BH77"")"),0)</f>
        <v>0</v>
      </c>
      <c r="M148" s="49"/>
      <c r="N148" s="49">
        <f ca="1">IFERROR(__xludf.DUMMYFUNCTION("IMPORTRANGE(""https://docs.google.com/spreadsheets/d/1Yj_ptqi66GCucihVvJfMjLAmec39IyEx_6qawtMGysU/edit?usp=sharing"",""สบก!BL77"")"),0)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IFERROR(__xludf.DUMMYFUNCTION("IMPORTRANGE(""https://docs.google.com/spreadsheets/d/1SX6NBoVAgQJ6U1MVXOaj8PK2l7WJ3RER9xtqwdhxkhw/edit?usp=sharing"",""สิงห์บุรี!I74"")"),4)</f>
        <v>4</v>
      </c>
      <c r="J149" s="276">
        <f ca="1">IFERROR(__xludf.DUMMYFUNCTION("IMPORTRANGE(""https://docs.google.com/spreadsheets/d/1SX6NBoVAgQJ6U1MVXOaj8PK2l7WJ3RER9xtqwdhxkhw/edit?usp=sharing"",""สิงห์บุรี!J74"")"),4)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IFERROR(__xludf.DUMMYFUNCTION("IMPORTRANGE(""https://docs.google.com/spreadsheets/d/1SX6NBoVAgQJ6U1MVXOaj8PK2l7WJ3RER9xtqwdhxkhw/edit?usp=sharing"",""สิงห์บุรี!J79"")"),0)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IFERROR(__xludf.DUMMYFUNCTION("IMPORTRANGE(""https://docs.google.com/spreadsheets/d/1SX6NBoVAgQJ6U1MVXOaj8PK2l7WJ3RER9xtqwdhxkhw/edit?usp=sharing"",""สิงห์บุรี!J80"")"),0)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IFERROR(__xludf.DUMMYFUNCTION("IMPORTRANGE(""https://docs.google.com/spreadsheets/d/1SX6NBoVAgQJ6U1MVXOaj8PK2l7WJ3RER9xtqwdhxkhw/edit?usp=sharing"",""สิงห์บุรี!J81"")"),0)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IFERROR(__xludf.DUMMYFUNCTION("IMPORTRANGE(""https://docs.google.com/spreadsheets/d/1SX6NBoVAgQJ6U1MVXOaj8PK2l7WJ3RER9xtqwdhxkhw/edit?usp=sharing"",""สิงห์บุรี!J82"")"),0)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IFERROR(__xludf.DUMMYFUNCTION("IMPORTRANGE(""https://docs.google.com/spreadsheets/d/1SX6NBoVAgQJ6U1MVXOaj8PK2l7WJ3RER9xtqwdhxkhw/edit?usp=sharing"",""สิงห์บุรี!I83"")"),4)</f>
        <v>4</v>
      </c>
      <c r="J158" s="189">
        <f ca="1">IFERROR(__xludf.DUMMYFUNCTION("IMPORTRANGE(""https://docs.google.com/spreadsheets/d/1SX6NBoVAgQJ6U1MVXOaj8PK2l7WJ3RER9xtqwdhxkhw/edit?usp=sharing"",""สิงห์บุรี!J83"")"),4)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IFERROR(__xludf.DUMMYFUNCTION("IMPORTRANGE(""https://docs.google.com/spreadsheets/d/1SX6NBoVAgQJ6U1MVXOaj8PK2l7WJ3RER9xtqwdhxkhw/edit?usp=sharing"",""สิงห์บุรี!J84"")"),197)</f>
        <v>197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IFERROR(__xludf.DUMMYFUNCTION("IMPORTRANGE(""https://docs.google.com/spreadsheets/d/1SX6NBoVAgQJ6U1MVXOaj8PK2l7WJ3RER9xtqwdhxkhw/edit?usp=sharing"",""สิงห์บุรี!J85"")"),197)</f>
        <v>197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IFERROR(__xludf.DUMMYFUNCTION("IMPORTRANGE(""https://docs.google.com/spreadsheets/d/1SX6NBoVAgQJ6U1MVXOaj8PK2l7WJ3RER9xtqwdhxkhw/edit?usp=sharing"",""สิงห์บุรี!J86"")"),0)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IFERROR(__xludf.DUMMYFUNCTION("IMPORTRANGE(""https://docs.google.com/spreadsheets/d/1SX6NBoVAgQJ6U1MVXOaj8PK2l7WJ3RER9xtqwdhxkhw/edit?usp=sharing"",""สิงห์บุรี!J87"")"),0)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IFERROR(__xludf.DUMMYFUNCTION("IMPORTRANGE(""https://docs.google.com/spreadsheets/d/1SX6NBoVAgQJ6U1MVXOaj8PK2l7WJ3RER9xtqwdhxkhw/edit?usp=sharing"",""สิงห์บุรี!J88"")"),1)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IFERROR(__xludf.DUMMYFUNCTION("IMPORTRANGE(""https://docs.google.com/spreadsheets/d/1SX6NBoVAgQJ6U1MVXOaj8PK2l7WJ3RER9xtqwdhxkhw/edit?usp=sharing"",""สิงห์บุรี!I89"")"),1)</f>
        <v>1</v>
      </c>
      <c r="J164" s="285">
        <f ca="1">IFERROR(__xludf.DUMMYFUNCTION("IMPORTRANGE(""https://docs.google.com/spreadsheets/d/1SX6NBoVAgQJ6U1MVXOaj8PK2l7WJ3RER9xtqwdhxkhw/edit?usp=sharing"",""สิงห์บุรี!J89"")"),1)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IFERROR(__xludf.DUMMYFUNCTION("IMPORTRANGE(""https://docs.google.com/spreadsheets/d/1SX6NBoVAgQJ6U1MVXOaj8PK2l7WJ3RER9xtqwdhxkhw/edit?usp=sharing"",""สิงห์บุรี!J94"")"),0)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IFERROR(__xludf.DUMMYFUNCTION("IMPORTRANGE(""https://docs.google.com/spreadsheets/d/1SX6NBoVAgQJ6U1MVXOaj8PK2l7WJ3RER9xtqwdhxkhw/edit?usp=sharing"",""สิงห์บุรี!J95"")"),0)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IFERROR(__xludf.DUMMYFUNCTION("IMPORTRANGE(""https://docs.google.com/spreadsheets/d/1SX6NBoVAgQJ6U1MVXOaj8PK2l7WJ3RER9xtqwdhxkhw/edit?usp=sharing"",""สิงห์บุรี!J96"")"),0)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IFERROR(__xludf.DUMMYFUNCTION("IMPORTRANGE(""https://docs.google.com/spreadsheets/d/1SX6NBoVAgQJ6U1MVXOaj8PK2l7WJ3RER9xtqwdhxkhw/edit?usp=sharing"",""สิงห์บุรี!J97"")"),0)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IFERROR(__xludf.DUMMYFUNCTION("IMPORTRANGE(""https://docs.google.com/spreadsheets/d/1SX6NBoVAgQJ6U1MVXOaj8PK2l7WJ3RER9xtqwdhxkhw/edit?usp=sharing"",""สิงห์บุรี!I98"")"),1)</f>
        <v>1</v>
      </c>
      <c r="J173" s="189">
        <f ca="1">IFERROR(__xludf.DUMMYFUNCTION("IMPORTRANGE(""https://docs.google.com/spreadsheets/d/1SX6NBoVAgQJ6U1MVXOaj8PK2l7WJ3RER9xtqwdhxkhw/edit?usp=sharing"",""สิงห์บุรี!J98"")"),1)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IFERROR(__xludf.DUMMYFUNCTION("IMPORTRANGE(""https://docs.google.com/spreadsheets/d/1SX6NBoVAgQJ6U1MVXOaj8PK2l7WJ3RER9xtqwdhxkhw/edit?usp=sharing"",""สิงห์บุรี!J99"")"),0)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IFERROR(__xludf.DUMMYFUNCTION("IMPORTRANGE(""https://docs.google.com/spreadsheets/d/1SX6NBoVAgQJ6U1MVXOaj8PK2l7WJ3RER9xtqwdhxkhw/edit?usp=sharing"",""สิงห์บุรี!J100"")"),1)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IFERROR(__xludf.DUMMYFUNCTION("IMPORTRANGE(""https://docs.google.com/spreadsheets/d/1SX6NBoVAgQJ6U1MVXOaj8PK2l7WJ3RER9xtqwdhxkhw/edit?usp=sharing"",""สิงห์บุรี!I101"")"),0)</f>
        <v>0</v>
      </c>
      <c r="J176" s="285">
        <f ca="1">IFERROR(__xludf.DUMMYFUNCTION("IMPORTRANGE(""https://docs.google.com/spreadsheets/d/1SX6NBoVAgQJ6U1MVXOaj8PK2l7WJ3RER9xtqwdhxkhw/edit?usp=sharing"",""สิงห์บุรี!J101"")"),0)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IFERROR(__xludf.DUMMYFUNCTION("IMPORTRANGE(""https://docs.google.com/spreadsheets/d/1SX6NBoVAgQJ6U1MVXOaj8PK2l7WJ3RER9xtqwdhxkhw/edit?usp=sharing"",""สิงห์บุรี!J106"")"),0)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IFERROR(__xludf.DUMMYFUNCTION("IMPORTRANGE(""https://docs.google.com/spreadsheets/d/1SX6NBoVAgQJ6U1MVXOaj8PK2l7WJ3RER9xtqwdhxkhw/edit?usp=sharing"",""สิงห์บุรี!J107"")"),0)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IFERROR(__xludf.DUMMYFUNCTION("IMPORTRANGE(""https://docs.google.com/spreadsheets/d/1SX6NBoVAgQJ6U1MVXOaj8PK2l7WJ3RER9xtqwdhxkhw/edit?usp=sharing"",""สิงห์บุรี!J108"")"),0)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IFERROR(__xludf.DUMMYFUNCTION("IMPORTRANGE(""https://docs.google.com/spreadsheets/d/1SX6NBoVAgQJ6U1MVXOaj8PK2l7WJ3RER9xtqwdhxkhw/edit?usp=sharing"",""สิงห์บุรี!J109"")"),0)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IFERROR(__xludf.DUMMYFUNCTION("IMPORTRANGE(""https://docs.google.com/spreadsheets/d/1SX6NBoVAgQJ6U1MVXOaj8PK2l7WJ3RER9xtqwdhxkhw/edit?usp=sharing"",""สิงห์บุรี!I110"")"),0)</f>
        <v>0</v>
      </c>
      <c r="J185" s="204">
        <f ca="1">IFERROR(__xludf.DUMMYFUNCTION("IMPORTRANGE(""https://docs.google.com/spreadsheets/d/1SX6NBoVAgQJ6U1MVXOaj8PK2l7WJ3RER9xtqwdhxkhw/edit?usp=sharing"",""สิงห์บุรี!J110"")"),0)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IFERROR(__xludf.DUMMYFUNCTION("IMPORTRANGE(""https://docs.google.com/spreadsheets/d/1SX6NBoVAgQJ6U1MVXOaj8PK2l7WJ3RER9xtqwdhxkhw/edit?usp=sharing"",""สิงห์บุรี!I111"")"),0)</f>
        <v>0</v>
      </c>
      <c r="J186" s="204">
        <f ca="1">IFERROR(__xludf.DUMMYFUNCTION("IMPORTRANGE(""https://docs.google.com/spreadsheets/d/1SX6NBoVAgQJ6U1MVXOaj8PK2l7WJ3RER9xtqwdhxkhw/edit?usp=sharing"",""สิงห์บุรี!J111"")"),0)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IFERROR(__xludf.DUMMYFUNCTION("IMPORTRANGE(""https://docs.google.com/spreadsheets/d/1SX6NBoVAgQJ6U1MVXOaj8PK2l7WJ3RER9xtqwdhxkhw/edit?usp=sharing"",""สิงห์บุรี!J112"")"),0)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IFERROR(__xludf.DUMMYFUNCTION("IMPORTRANGE(""https://docs.google.com/spreadsheets/d/1SX6NBoVAgQJ6U1MVXOaj8PK2l7WJ3RER9xtqwdhxkhw/edit?usp=sharing"",""สิงห์บุรี!J113"")"),0)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IFERROR(__xludf.DUMMYFUNCTION("IMPORTRANGE(""https://docs.google.com/spreadsheets/d/1SX6NBoVAgQJ6U1MVXOaj8PK2l7WJ3RER9xtqwdhxkhw/edit?usp=sharing"",""สิงห์บุรี!I114"")"),8000)</f>
        <v>8000</v>
      </c>
      <c r="J189" s="285">
        <f ca="1">IFERROR(__xludf.DUMMYFUNCTION("IMPORTRANGE(""https://docs.google.com/spreadsheets/d/1SX6NBoVAgQJ6U1MVXOaj8PK2l7WJ3RER9xtqwdhxkhw/edit?usp=sharing"",""สิงห์บุรี!J114"")"),8000)</f>
        <v>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IFERROR(__xludf.DUMMYFUNCTION("IMPORTRANGE(""https://docs.google.com/spreadsheets/d/1SX6NBoVAgQJ6U1MVXOaj8PK2l7WJ3RER9xtqwdhxkhw/edit?usp=sharing"",""สิงห์บุรี!J119"")"),1)</f>
        <v>1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IFERROR(__xludf.DUMMYFUNCTION("IMPORTRANGE(""https://docs.google.com/spreadsheets/d/1SX6NBoVAgQJ6U1MVXOaj8PK2l7WJ3RER9xtqwdhxkhw/edit?usp=sharing"",""สิงห์บุรี!J120"")"),0)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IFERROR(__xludf.DUMMYFUNCTION("IMPORTRANGE(""https://docs.google.com/spreadsheets/d/1SX6NBoVAgQJ6U1MVXOaj8PK2l7WJ3RER9xtqwdhxkhw/edit?usp=sharing"",""สิงห์บุรี!J121"")"),0)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IFERROR(__xludf.DUMMYFUNCTION("IMPORTRANGE(""https://docs.google.com/spreadsheets/d/1SX6NBoVAgQJ6U1MVXOaj8PK2l7WJ3RER9xtqwdhxkhw/edit?usp=sharing"",""สิงห์บุรี!J122"")"),0)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IFERROR(__xludf.DUMMYFUNCTION("IMPORTRANGE(""https://docs.google.com/spreadsheets/d/1SX6NBoVAgQJ6U1MVXOaj8PK2l7WJ3RER9xtqwdhxkhw/edit?usp=sharing"",""สิงห์บุรี!I124"")"),8000)</f>
        <v>8000</v>
      </c>
      <c r="J199" s="189">
        <f ca="1">IFERROR(__xludf.DUMMYFUNCTION("IMPORTRANGE(""https://docs.google.com/spreadsheets/d/1SX6NBoVAgQJ6U1MVXOaj8PK2l7WJ3RER9xtqwdhxkhw/edit?usp=sharing"",""สิงห์บุรี!J124"")"),8000)</f>
        <v>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IFERROR(__xludf.DUMMYFUNCTION("IMPORTRANGE(""https://docs.google.com/spreadsheets/d/1SX6NBoVAgQJ6U1MVXOaj8PK2l7WJ3RER9xtqwdhxkhw/edit?usp=sharing"",""สิงห์บุรี!I125"")"),8000)</f>
        <v>8000</v>
      </c>
      <c r="J200" s="189">
        <f ca="1">IFERROR(__xludf.DUMMYFUNCTION("IMPORTRANGE(""https://docs.google.com/spreadsheets/d/1SX6NBoVAgQJ6U1MVXOaj8PK2l7WJ3RER9xtqwdhxkhw/edit?usp=sharing"",""สิงห์บุรี!J125"")"),8000)</f>
        <v>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IFERROR(__xludf.DUMMYFUNCTION("IMPORTRANGE(""https://docs.google.com/spreadsheets/d/1SX6NBoVAgQJ6U1MVXOaj8PK2l7WJ3RER9xtqwdhxkhw/edit?usp=sharing"",""สิงห์บุรี!I126"")"),0)</f>
        <v>0</v>
      </c>
      <c r="J201" s="189">
        <f ca="1">IFERROR(__xludf.DUMMYFUNCTION("IMPORTRANGE(""https://docs.google.com/spreadsheets/d/1SX6NBoVAgQJ6U1MVXOaj8PK2l7WJ3RER9xtqwdhxkhw/edit?usp=sharing"",""สิงห์บุรี!J126"")"),0)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IFERROR(__xludf.DUMMYFUNCTION("IMPORTRANGE(""https://docs.google.com/spreadsheets/d/1SX6NBoVAgQJ6U1MVXOaj8PK2l7WJ3RER9xtqwdhxkhw/edit?usp=sharing"",""สิงห์บุรี!J127"")"),0)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IFERROR(__xludf.DUMMYFUNCTION("IMPORTRANGE(""https://docs.google.com/spreadsheets/d/1SX6NBoVAgQJ6U1MVXOaj8PK2l7WJ3RER9xtqwdhxkhw/edit?usp=sharing"",""สิงห์บุรี!J128"")"),1)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IFERROR(__xludf.DUMMYFUNCTION("IMPORTRANGE(""https://docs.google.com/spreadsheets/d/1SX6NBoVAgQJ6U1MVXOaj8PK2l7WJ3RER9xtqwdhxkhw/edit?usp=sharing"",""สิงห์บุรี!I129"")"),0)</f>
        <v>0</v>
      </c>
      <c r="J204" s="285">
        <f ca="1">IFERROR(__xludf.DUMMYFUNCTION("IMPORTRANGE(""https://docs.google.com/spreadsheets/d/1SX6NBoVAgQJ6U1MVXOaj8PK2l7WJ3RER9xtqwdhxkhw/edit?usp=sharing"",""สิงห์บุรี!J129"")"),0)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IFERROR(__xludf.DUMMYFUNCTION("IMPORTRANGE(""https://docs.google.com/spreadsheets/d/1SX6NBoVAgQJ6U1MVXOaj8PK2l7WJ3RER9xtqwdhxkhw/edit?usp=sharing"",""สิงห์บุรี!J134"")"),0)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IFERROR(__xludf.DUMMYFUNCTION("IMPORTRANGE(""https://docs.google.com/spreadsheets/d/1SX6NBoVAgQJ6U1MVXOaj8PK2l7WJ3RER9xtqwdhxkhw/edit?usp=sharing"",""สิงห์บุรี!J135"")"),0)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IFERROR(__xludf.DUMMYFUNCTION("IMPORTRANGE(""https://docs.google.com/spreadsheets/d/1SX6NBoVAgQJ6U1MVXOaj8PK2l7WJ3RER9xtqwdhxkhw/edit?usp=sharing"",""สิงห์บุรี!J136"")"),0)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IFERROR(__xludf.DUMMYFUNCTION("IMPORTRANGE(""https://docs.google.com/spreadsheets/d/1SX6NBoVAgQJ6U1MVXOaj8PK2l7WJ3RER9xtqwdhxkhw/edit?usp=sharing"",""สิงห์บุรี!J137"")"),0)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IFERROR(__xludf.DUMMYFUNCTION("IMPORTRANGE(""https://docs.google.com/spreadsheets/d/1SX6NBoVAgQJ6U1MVXOaj8PK2l7WJ3RER9xtqwdhxkhw/edit?usp=sharing"",""สิงห์บุรี!I138"")"),0)</f>
        <v>0</v>
      </c>
      <c r="J213" s="204">
        <f ca="1">IFERROR(__xludf.DUMMYFUNCTION("IMPORTRANGE(""https://docs.google.com/spreadsheets/d/1SX6NBoVAgQJ6U1MVXOaj8PK2l7WJ3RER9xtqwdhxkhw/edit?usp=sharing"",""สิงห์บุรี!J138"")"),0)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IFERROR(__xludf.DUMMYFUNCTION("IMPORTRANGE(""https://docs.google.com/spreadsheets/d/1SX6NBoVAgQJ6U1MVXOaj8PK2l7WJ3RER9xtqwdhxkhw/edit?usp=sharing"",""สิงห์บุรี!I140"")"),0)</f>
        <v>0</v>
      </c>
      <c r="J215" s="204">
        <f ca="1">IFERROR(__xludf.DUMMYFUNCTION("IMPORTRANGE(""https://docs.google.com/spreadsheets/d/1SX6NBoVAgQJ6U1MVXOaj8PK2l7WJ3RER9xtqwdhxkhw/edit?usp=sharing"",""สิงห์บุรี!J140"")"),0)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IFERROR(__xludf.DUMMYFUNCTION("IMPORTRANGE(""https://docs.google.com/spreadsheets/d/1SX6NBoVAgQJ6U1MVXOaj8PK2l7WJ3RER9xtqwdhxkhw/edit?usp=sharing"",""สิงห์บุรี!I141"")"),0)</f>
        <v>0</v>
      </c>
      <c r="J216" s="204">
        <f ca="1">IFERROR(__xludf.DUMMYFUNCTION("IMPORTRANGE(""https://docs.google.com/spreadsheets/d/1SX6NBoVAgQJ6U1MVXOaj8PK2l7WJ3RER9xtqwdhxkhw/edit?usp=sharing"",""สิงห์บุรี!J141"")"),0)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IFERROR(__xludf.DUMMYFUNCTION("IMPORTRANGE(""https://docs.google.com/spreadsheets/d/1SX6NBoVAgQJ6U1MVXOaj8PK2l7WJ3RER9xtqwdhxkhw/edit?usp=sharing"",""สิงห์บุรี!J142"")"),0)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IFERROR(__xludf.DUMMYFUNCTION("IMPORTRANGE(""https://docs.google.com/spreadsheets/d/1SX6NBoVAgQJ6U1MVXOaj8PK2l7WJ3RER9xtqwdhxkhw/edit?usp=sharing"",""สิงห์บุรี!J143"")"),0)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IFERROR(__xludf.DUMMYFUNCTION("IMPORTRANGE(""https://docs.google.com/spreadsheets/d/1SX6NBoVAgQJ6U1MVXOaj8PK2l7WJ3RER9xtqwdhxkhw/edit?usp=sharing"",""สิงห์บุรี!I144"")"),13)</f>
        <v>13</v>
      </c>
      <c r="J219" s="268">
        <f ca="1">IFERROR(__xludf.DUMMYFUNCTION("IMPORTRANGE(""https://docs.google.com/spreadsheets/d/1SX6NBoVAgQJ6U1MVXOaj8PK2l7WJ3RER9xtqwdhxkhw/edit?usp=sharing"",""สิงห์บุรี!J144"")"),13)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IFERROR(__xludf.DUMMYFUNCTION("IMPORTRANGE(""https://docs.google.com/spreadsheets/d/1Yj_ptqi66GCucihVvJfMjLAmec39IyEx_6qawtMGysU/edit?usp=sharing"",""สบก!BS77"")"),19295)</f>
        <v>19295</v>
      </c>
      <c r="N224" s="169">
        <f ca="1">IFERROR(__xludf.DUMMYFUNCTION("IMPORTRANGE(""https://docs.google.com/spreadsheets/d/1Yj_ptqi66GCucihVvJfMjLAmec39IyEx_6qawtMGysU/edit?usp=sharing"",""สบก!BT77"")"),19295)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IFERROR(__xludf.DUMMYFUNCTION("IMPORTRANGE(""https://docs.google.com/spreadsheets/d/1Yj_ptqi66GCucihVvJfMjLAmec39IyEx_6qawtMGysU/edit?usp=sharing"",""สบก!BP77"")"),19295)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IFERROR(__xludf.DUMMYFUNCTION("IMPORTRANGE(""https://docs.google.com/spreadsheets/d/1Yj_ptqi66GCucihVvJfMjLAmec39IyEx_6qawtMGysU/edit?usp=sharing"",""สบก!BQ77"")"),0)</f>
        <v>0</v>
      </c>
      <c r="M228" s="49"/>
      <c r="N228" s="49">
        <f ca="1">IFERROR(__xludf.DUMMYFUNCTION("IMPORTRANGE(""https://docs.google.com/spreadsheets/d/1Yj_ptqi66GCucihVvJfMjLAmec39IyEx_6qawtMGysU/edit?usp=sharing"",""สบก!BU77"")"),0)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IFERROR(__xludf.DUMMYFUNCTION("IMPORTRANGE(""https://docs.google.com/spreadsheets/d/1SX6NBoVAgQJ6U1MVXOaj8PK2l7WJ3RER9xtqwdhxkhw/edit?usp=sharing"",""สิงห์บุรี!I149"")"),13)</f>
        <v>13</v>
      </c>
      <c r="J229" s="268">
        <f ca="1">IFERROR(__xludf.DUMMYFUNCTION("IMPORTRANGE(""https://docs.google.com/spreadsheets/d/1SX6NBoVAgQJ6U1MVXOaj8PK2l7WJ3RER9xtqwdhxkhw/edit?usp=sharing"",""สิงห์บุรี!J149"")"),13)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IFERROR(__xludf.DUMMYFUNCTION("IMPORTRANGE(""https://docs.google.com/spreadsheets/d/1SX6NBoVAgQJ6U1MVXOaj8PK2l7WJ3RER9xtqwdhxkhw/edit?usp=sharing"",""สิงห์บุรี!J151"")"),0)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IFERROR(__xludf.DUMMYFUNCTION("IMPORTRANGE(""https://docs.google.com/spreadsheets/d/1SX6NBoVAgQJ6U1MVXOaj8PK2l7WJ3RER9xtqwdhxkhw/edit?usp=sharing"",""สิงห์บุรี!J152"")"),0)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IFERROR(__xludf.DUMMYFUNCTION("IMPORTRANGE(""https://docs.google.com/spreadsheets/d/1SX6NBoVAgQJ6U1MVXOaj8PK2l7WJ3RER9xtqwdhxkhw/edit?usp=sharing"",""สิงห์บุรี!J153"")"),0)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IFERROR(__xludf.DUMMYFUNCTION("IMPORTRANGE(""https://docs.google.com/spreadsheets/d/1SX6NBoVAgQJ6U1MVXOaj8PK2l7WJ3RER9xtqwdhxkhw/edit?usp=sharing"",""สิงห์บุรี!J154"")"),0)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IFERROR(__xludf.DUMMYFUNCTION("IMPORTRANGE(""https://docs.google.com/spreadsheets/d/1SX6NBoVAgQJ6U1MVXOaj8PK2l7WJ3RER9xtqwdhxkhw/edit?usp=sharing"",""สิงห์บุรี!I155"")"),13)</f>
        <v>13</v>
      </c>
      <c r="J235" s="189">
        <f ca="1">IFERROR(__xludf.DUMMYFUNCTION("IMPORTRANGE(""https://docs.google.com/spreadsheets/d/1SX6NBoVAgQJ6U1MVXOaj8PK2l7WJ3RER9xtqwdhxkhw/edit?usp=sharing"",""สิงห์บุรี!J155"")"),13)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IFERROR(__xludf.DUMMYFUNCTION("IMPORTRANGE(""https://docs.google.com/spreadsheets/d/1SX6NBoVAgQJ6U1MVXOaj8PK2l7WJ3RER9xtqwdhxkhw/edit?usp=sharing"",""สิงห์บุรี!J156"")"),0)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IFERROR(__xludf.DUMMYFUNCTION("IMPORTRANGE(""https://docs.google.com/spreadsheets/d/1SX6NBoVAgQJ6U1MVXOaj8PK2l7WJ3RER9xtqwdhxkhw/edit?usp=sharing"",""สิงห์บุรี!J157"")"),1)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IFERROR(__xludf.DUMMYFUNCTION("IMPORTRANGE(""https://docs.google.com/spreadsheets/d/1SX6NBoVAgQJ6U1MVXOaj8PK2l7WJ3RER9xtqwdhxkhw/edit?usp=sharing"",""สิงห์บุรี!I158"")"),0)</f>
        <v>0</v>
      </c>
      <c r="J238" s="268">
        <f ca="1">IFERROR(__xludf.DUMMYFUNCTION("IMPORTRANGE(""https://docs.google.com/spreadsheets/d/1SX6NBoVAgQJ6U1MVXOaj8PK2l7WJ3RER9xtqwdhxkhw/edit?usp=sharing"",""สิงห์บุรี!J158"")"),0)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IFERROR(__xludf.DUMMYFUNCTION("IMPORTRANGE(""https://docs.google.com/spreadsheets/d/1SX6NBoVAgQJ6U1MVXOaj8PK2l7WJ3RER9xtqwdhxkhw/edit?usp=sharing"",""สิงห์บุรี!J159"")"),"")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IFERROR(__xludf.DUMMYFUNCTION("IMPORTRANGE(""https://docs.google.com/spreadsheets/d/1SX6NBoVAgQJ6U1MVXOaj8PK2l7WJ3RER9xtqwdhxkhw/edit?usp=sharing"",""สิงห์บุรี!J161"")"),0)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IFERROR(__xludf.DUMMYFUNCTION("IMPORTRANGE(""https://docs.google.com/spreadsheets/d/1SX6NBoVAgQJ6U1MVXOaj8PK2l7WJ3RER9xtqwdhxkhw/edit?usp=sharing"",""สิงห์บุรี!J162"")"),0)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IFERROR(__xludf.DUMMYFUNCTION("IMPORTRANGE(""https://docs.google.com/spreadsheets/d/1SX6NBoVAgQJ6U1MVXOaj8PK2l7WJ3RER9xtqwdhxkhw/edit?usp=sharing"",""สิงห์บุรี!J163"")"),0)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IFERROR(__xludf.DUMMYFUNCTION("IMPORTRANGE(""https://docs.google.com/spreadsheets/d/1SX6NBoVAgQJ6U1MVXOaj8PK2l7WJ3RER9xtqwdhxkhw/edit?usp=sharing"",""สิงห์บุรี!I164"")"),0)</f>
        <v>0</v>
      </c>
      <c r="J244" s="188">
        <f ca="1">IFERROR(__xludf.DUMMYFUNCTION("IMPORTRANGE(""https://docs.google.com/spreadsheets/d/1SX6NBoVAgQJ6U1MVXOaj8PK2l7WJ3RER9xtqwdhxkhw/edit?usp=sharing"",""สิงห์บุรี!J164"")"),0)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IFERROR(__xludf.DUMMYFUNCTION("IMPORTRANGE(""https://docs.google.com/spreadsheets/d/1SX6NBoVAgQJ6U1MVXOaj8PK2l7WJ3RER9xtqwdhxkhw/edit?usp=sharing"",""สิงห์บุรี!J165"")"),0)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IFERROR(__xludf.DUMMYFUNCTION("IMPORTRANGE(""https://docs.google.com/spreadsheets/d/1SX6NBoVAgQJ6U1MVXOaj8PK2l7WJ3RER9xtqwdhxkhw/edit?usp=sharing"",""สิงห์บุรี!J166"")"),0)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IFERROR(__xludf.DUMMYFUNCTION("IMPORTRANGE(""https://docs.google.com/spreadsheets/d/1SX6NBoVAgQJ6U1MVXOaj8PK2l7WJ3RER9xtqwdhxkhw/edit?usp=sharing"",""สิงห์บุรี!I169"")"),0)</f>
        <v>0</v>
      </c>
      <c r="J249" s="317">
        <f ca="1">IFERROR(__xludf.DUMMYFUNCTION("IMPORTRANGE(""https://docs.google.com/spreadsheets/d/1SX6NBoVAgQJ6U1MVXOaj8PK2l7WJ3RER9xtqwdhxkhw/edit?usp=sharing"",""สิงห์บุรี!J169"")"),0)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IFERROR(__xludf.DUMMYFUNCTION("IMPORTRANGE(""https://docs.google.com/spreadsheets/d/1Yj_ptqi66GCucihVvJfMjLAmec39IyEx_6qawtMGysU/edit?usp=sharing"",""สบก!CB77"")"),0)</f>
        <v>0</v>
      </c>
      <c r="N254" s="169">
        <f ca="1">IFERROR(__xludf.DUMMYFUNCTION("IMPORTRANGE(""https://docs.google.com/spreadsheets/d/1Yj_ptqi66GCucihVvJfMjLAmec39IyEx_6qawtMGysU/edit?usp=sharing"",""สบก!CC77"")"),0)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IFERROR(__xludf.DUMMYFUNCTION("IMPORTRANGE(""https://docs.google.com/spreadsheets/d/1Yj_ptqi66GCucihVvJfMjLAmec39IyEx_6qawtMGysU/edit?usp=sharing"",""สบก!BZ77"")"),0)</f>
        <v>0</v>
      </c>
      <c r="M258" s="49"/>
      <c r="N258" s="49">
        <f ca="1">IFERROR(__xludf.DUMMYFUNCTION("IMPORTRANGE(""https://docs.google.com/spreadsheets/d/1Yj_ptqi66GCucihVvJfMjLAmec39IyEx_6qawtMGysU/edit?usp=sharing"",""สบก!CD77"")"),0)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IFERROR(__xludf.DUMMYFUNCTION("IMPORTRANGE(""https://docs.google.com/spreadsheets/d/1SX6NBoVAgQJ6U1MVXOaj8PK2l7WJ3RER9xtqwdhxkhw/edit?usp=sharing"",""สิงห์บุรี!J175"")"),0)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IFERROR(__xludf.DUMMYFUNCTION("IMPORTRANGE(""https://docs.google.com/spreadsheets/d/1SX6NBoVAgQJ6U1MVXOaj8PK2l7WJ3RER9xtqwdhxkhw/edit?usp=sharing"",""สิงห์บุรี!J176"")"),0)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IFERROR(__xludf.DUMMYFUNCTION("IMPORTRANGE(""https://docs.google.com/spreadsheets/d/1SX6NBoVAgQJ6U1MVXOaj8PK2l7WJ3RER9xtqwdhxkhw/edit?usp=sharing"",""สิงห์บุรี!J177"")"),0)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IFERROR(__xludf.DUMMYFUNCTION("IMPORTRANGE(""https://docs.google.com/spreadsheets/d/1SX6NBoVAgQJ6U1MVXOaj8PK2l7WJ3RER9xtqwdhxkhw/edit?usp=sharing"",""สิงห์บุรี!J178"")"),0)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IFERROR(__xludf.DUMMYFUNCTION("IMPORTRANGE(""https://docs.google.com/spreadsheets/d/1SX6NBoVAgQJ6U1MVXOaj8PK2l7WJ3RER9xtqwdhxkhw/edit?usp=sharing"",""สิงห์บุรี!I179"")"),0)</f>
        <v>0</v>
      </c>
      <c r="J264" s="189">
        <f ca="1">IFERROR(__xludf.DUMMYFUNCTION("IMPORTRANGE(""https://docs.google.com/spreadsheets/d/1SX6NBoVAgQJ6U1MVXOaj8PK2l7WJ3RER9xtqwdhxkhw/edit?usp=sharing"",""สิงห์บุรี!J179"")"),0)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IFERROR(__xludf.DUMMYFUNCTION("IMPORTRANGE(""https://docs.google.com/spreadsheets/d/1SX6NBoVAgQJ6U1MVXOaj8PK2l7WJ3RER9xtqwdhxkhw/edit?usp=sharing"",""สิงห์บุรี!I180"")"),0)</f>
        <v>0</v>
      </c>
      <c r="J265" s="189">
        <f ca="1">IFERROR(__xludf.DUMMYFUNCTION("IMPORTRANGE(""https://docs.google.com/spreadsheets/d/1SX6NBoVAgQJ6U1MVXOaj8PK2l7WJ3RER9xtqwdhxkhw/edit?usp=sharing"",""สิงห์บุรี!J180"")"),0)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IFERROR(__xludf.DUMMYFUNCTION("IMPORTRANGE(""https://docs.google.com/spreadsheets/d/1SX6NBoVAgQJ6U1MVXOaj8PK2l7WJ3RER9xtqwdhxkhw/edit?usp=sharing"",""สิงห์บุรี!I181"")"),0)</f>
        <v>0</v>
      </c>
      <c r="J266" s="189">
        <f ca="1">IFERROR(__xludf.DUMMYFUNCTION("IMPORTRANGE(""https://docs.google.com/spreadsheets/d/1SX6NBoVAgQJ6U1MVXOaj8PK2l7WJ3RER9xtqwdhxkhw/edit?usp=sharing"",""สิงห์บุรี!J181"")"),0)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IFERROR(__xludf.DUMMYFUNCTION("IMPORTRANGE(""https://docs.google.com/spreadsheets/d/1SX6NBoVAgQJ6U1MVXOaj8PK2l7WJ3RER9xtqwdhxkhw/edit?usp=sharing"",""สิงห์บุรี!I182"")"),0)</f>
        <v>0</v>
      </c>
      <c r="J267" s="189">
        <f ca="1">IFERROR(__xludf.DUMMYFUNCTION("IMPORTRANGE(""https://docs.google.com/spreadsheets/d/1SX6NBoVAgQJ6U1MVXOaj8PK2l7WJ3RER9xtqwdhxkhw/edit?usp=sharing"",""สิงห์บุรี!J182"")"),0)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IFERROR(__xludf.DUMMYFUNCTION("IMPORTRANGE(""https://docs.google.com/spreadsheets/d/1SX6NBoVAgQJ6U1MVXOaj8PK2l7WJ3RER9xtqwdhxkhw/edit?usp=sharing"",""สิงห์บุรี!J183"")"),0)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IFERROR(__xludf.DUMMYFUNCTION("IMPORTRANGE(""https://docs.google.com/spreadsheets/d/1SX6NBoVAgQJ6U1MVXOaj8PK2l7WJ3RER9xtqwdhxkhw/edit?usp=sharing"",""สิงห์บุรี!J184"")"),0)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IFERROR(__xludf.DUMMYFUNCTION("IMPORTRANGE(""https://docs.google.com/spreadsheets/d/1SX6NBoVAgQJ6U1MVXOaj8PK2l7WJ3RER9xtqwdhxkhw/edit?usp=sharing"",""สิงห์บุรี!I185"")"),0)</f>
        <v>0</v>
      </c>
      <c r="J270" s="317">
        <f ca="1">IFERROR(__xludf.DUMMYFUNCTION("IMPORTRANGE(""https://docs.google.com/spreadsheets/d/1SX6NBoVAgQJ6U1MVXOaj8PK2l7WJ3RER9xtqwdhxkhw/edit?usp=sharing"",""สิงห์บุรี!J185"")"),0)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IFERROR(__xludf.DUMMYFUNCTION("IMPORTRANGE(""https://docs.google.com/spreadsheets/d/1Yj_ptqi66GCucihVvJfMjLAmec39IyEx_6qawtMGysU/edit?usp=sharing"",""สบก!CK77"")"),0)</f>
        <v>0</v>
      </c>
      <c r="N275" s="169">
        <f ca="1">IFERROR(__xludf.DUMMYFUNCTION("IMPORTRANGE(""https://docs.google.com/spreadsheets/d/1Yj_ptqi66GCucihVvJfMjLAmec39IyEx_6qawtMGysU/edit?usp=sharing"",""สบก!CL77"")"),0)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IFERROR(__xludf.DUMMYFUNCTION("IMPORTRANGE(""https://docs.google.com/spreadsheets/d/1Yj_ptqi66GCucihVvJfMjLAmec39IyEx_6qawtMGysU/edit?usp=sharing"",""สบก!CH77"")"),0)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IFERROR(__xludf.DUMMYFUNCTION("IMPORTRANGE(""https://docs.google.com/spreadsheets/d/1Yj_ptqi66GCucihVvJfMjLAmec39IyEx_6qawtMGysU/edit?usp=sharing"",""สบก!CI77"")"),0)</f>
        <v>0</v>
      </c>
      <c r="M279" s="49"/>
      <c r="N279" s="49">
        <f ca="1">IFERROR(__xludf.DUMMYFUNCTION("IMPORTRANGE(""https://docs.google.com/spreadsheets/d/1Yj_ptqi66GCucihVvJfMjLAmec39IyEx_6qawtMGysU/edit?usp=sharing"",""สบก!CM77"")"),0)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IFERROR(__xludf.DUMMYFUNCTION("IMPORTRANGE(""https://docs.google.com/spreadsheets/d/1SX6NBoVAgQJ6U1MVXOaj8PK2l7WJ3RER9xtqwdhxkhw/edit?usp=sharing"",""สิงห์บุรี!J191"")"),0)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IFERROR(__xludf.DUMMYFUNCTION("IMPORTRANGE(""https://docs.google.com/spreadsheets/d/1SX6NBoVAgQJ6U1MVXOaj8PK2l7WJ3RER9xtqwdhxkhw/edit?usp=sharing"",""สิงห์บุรี!J192"")"),0)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IFERROR(__xludf.DUMMYFUNCTION("IMPORTRANGE(""https://docs.google.com/spreadsheets/d/1SX6NBoVAgQJ6U1MVXOaj8PK2l7WJ3RER9xtqwdhxkhw/edit?usp=sharing"",""สิงห์บุรี!J193"")"),0)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IFERROR(__xludf.DUMMYFUNCTION("IMPORTRANGE(""https://docs.google.com/spreadsheets/d/1SX6NBoVAgQJ6U1MVXOaj8PK2l7WJ3RER9xtqwdhxkhw/edit?usp=sharing"",""สิงห์บุรี!J194"")"),0)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IFERROR(__xludf.DUMMYFUNCTION("IMPORTRANGE(""https://docs.google.com/spreadsheets/d/1SX6NBoVAgQJ6U1MVXOaj8PK2l7WJ3RER9xtqwdhxkhw/edit?usp=sharing"",""สิงห์บุรี!I195"")"),0)</f>
        <v>0</v>
      </c>
      <c r="J285" s="189">
        <f ca="1">IFERROR(__xludf.DUMMYFUNCTION("IMPORTRANGE(""https://docs.google.com/spreadsheets/d/1SX6NBoVAgQJ6U1MVXOaj8PK2l7WJ3RER9xtqwdhxkhw/edit?usp=sharing"",""สิงห์บุรี!J195"")"),0)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IFERROR(__xludf.DUMMYFUNCTION("IMPORTRANGE(""https://docs.google.com/spreadsheets/d/1SX6NBoVAgQJ6U1MVXOaj8PK2l7WJ3RER9xtqwdhxkhw/edit?usp=sharing"",""สิงห์บุรี!J196"")"),0)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IFERROR(__xludf.DUMMYFUNCTION("IMPORTRANGE(""https://docs.google.com/spreadsheets/d/1SX6NBoVAgQJ6U1MVXOaj8PK2l7WJ3RER9xtqwdhxkhw/edit?usp=sharing"",""สิงห์บุรี!J197"")"),0)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IFERROR(__xludf.DUMMYFUNCTION("IMPORTRANGE(""https://docs.google.com/spreadsheets/d/1SX6NBoVAgQJ6U1MVXOaj8PK2l7WJ3RER9xtqwdhxkhw/edit?usp=sharing"",""สิงห์บุรี!I199"")"),0)</f>
        <v>0</v>
      </c>
      <c r="J289" s="317">
        <f ca="1">IFERROR(__xludf.DUMMYFUNCTION("IMPORTRANGE(""https://docs.google.com/spreadsheets/d/1SX6NBoVAgQJ6U1MVXOaj8PK2l7WJ3RER9xtqwdhxkhw/edit?usp=sharing"",""สิงห์บุรี!J199"")"),0)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IFERROR(__xludf.DUMMYFUNCTION("IMPORTRANGE(""https://docs.google.com/spreadsheets/d/1Yj_ptqi66GCucihVvJfMjLAmec39IyEx_6qawtMGysU/edit?usp=sharing"",""สบก!CT77"")"),0)</f>
        <v>0</v>
      </c>
      <c r="N294" s="169">
        <f ca="1">IFERROR(__xludf.DUMMYFUNCTION("IMPORTRANGE(""https://docs.google.com/spreadsheets/d/1Yj_ptqi66GCucihVvJfMjLAmec39IyEx_6qawtMGysU/edit?usp=sharing"",""สบก!CU77"")"),0)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IFERROR(__xludf.DUMMYFUNCTION("IMPORTRANGE(""https://docs.google.com/spreadsheets/d/1Yj_ptqi66GCucihVvJfMjLAmec39IyEx_6qawtMGysU/edit?usp=sharing"",""สบก!CR77"")"),0)</f>
        <v>0</v>
      </c>
      <c r="M298" s="49"/>
      <c r="N298" s="49">
        <f ca="1">IFERROR(__xludf.DUMMYFUNCTION("IMPORTRANGE(""https://docs.google.com/spreadsheets/d/1Yj_ptqi66GCucihVvJfMjLAmec39IyEx_6qawtMGysU/edit?usp=sharing"",""สบก!CV77"")"),0)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IFERROR(__xludf.DUMMYFUNCTION("IMPORTRANGE(""https://docs.google.com/spreadsheets/d/1SX6NBoVAgQJ6U1MVXOaj8PK2l7WJ3RER9xtqwdhxkhw/edit?usp=sharing"",""สิงห์บุรี!J205"")"),0)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IFERROR(__xludf.DUMMYFUNCTION("IMPORTRANGE(""https://docs.google.com/spreadsheets/d/1SX6NBoVAgQJ6U1MVXOaj8PK2l7WJ3RER9xtqwdhxkhw/edit?usp=sharing"",""สิงห์บุรี!J206"")"),0)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IFERROR(__xludf.DUMMYFUNCTION("IMPORTRANGE(""https://docs.google.com/spreadsheets/d/1SX6NBoVAgQJ6U1MVXOaj8PK2l7WJ3RER9xtqwdhxkhw/edit?usp=sharing"",""สิงห์บุรี!J207"")"),0)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IFERROR(__xludf.DUMMYFUNCTION("IMPORTRANGE(""https://docs.google.com/spreadsheets/d/1SX6NBoVAgQJ6U1MVXOaj8PK2l7WJ3RER9xtqwdhxkhw/edit?usp=sharing"",""สิงห์บุรี!J208"")"),0)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IFERROR(__xludf.DUMMYFUNCTION("IMPORTRANGE(""https://docs.google.com/spreadsheets/d/1SX6NBoVAgQJ6U1MVXOaj8PK2l7WJ3RER9xtqwdhxkhw/edit?usp=sharing"",""สิงห์บุรี!I209"")"),0)</f>
        <v>0</v>
      </c>
      <c r="J304" s="204">
        <f ca="1">IFERROR(__xludf.DUMMYFUNCTION("IMPORTRANGE(""https://docs.google.com/spreadsheets/d/1SX6NBoVAgQJ6U1MVXOaj8PK2l7WJ3RER9xtqwdhxkhw/edit?usp=sharing"",""สิงห์บุรี!J209"")"),0)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IFERROR(__xludf.DUMMYFUNCTION("IMPORTRANGE(""https://docs.google.com/spreadsheets/d/1SX6NBoVAgQJ6U1MVXOaj8PK2l7WJ3RER9xtqwdhxkhw/edit?usp=sharing"",""สิงห์บุรี!I211"")"),0)</f>
        <v>0</v>
      </c>
      <c r="J306" s="204">
        <f ca="1">IFERROR(__xludf.DUMMYFUNCTION("IMPORTRANGE(""https://docs.google.com/spreadsheets/d/1SX6NBoVAgQJ6U1MVXOaj8PK2l7WJ3RER9xtqwdhxkhw/edit?usp=sharing"",""สิงห์บุรี!J211"")"),0)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IFERROR(__xludf.DUMMYFUNCTION("IMPORTRANGE(""https://docs.google.com/spreadsheets/d/1SX6NBoVAgQJ6U1MVXOaj8PK2l7WJ3RER9xtqwdhxkhw/edit?usp=sharing"",""สิงห์บุรี!J212"")"),0)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IFERROR(__xludf.DUMMYFUNCTION("IMPORTRANGE(""https://docs.google.com/spreadsheets/d/1SX6NBoVAgQJ6U1MVXOaj8PK2l7WJ3RER9xtqwdhxkhw/edit?usp=sharing"",""สิงห์บุรี!J213"")"),0)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IFERROR(__xludf.DUMMYFUNCTION("IMPORTRANGE(""https://docs.google.com/spreadsheets/d/1SX6NBoVAgQJ6U1MVXOaj8PK2l7WJ3RER9xtqwdhxkhw/edit?usp=sharing"",""สิงห์บุรี!I214"")"),0)</f>
        <v>0</v>
      </c>
      <c r="J309" s="334">
        <f ca="1">IFERROR(__xludf.DUMMYFUNCTION("IMPORTRANGE(""https://docs.google.com/spreadsheets/d/1SX6NBoVAgQJ6U1MVXOaj8PK2l7WJ3RER9xtqwdhxkhw/edit?usp=sharing"",""สิงห์บุรี!J214"")"),0)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IFERROR(__xludf.DUMMYFUNCTION("IMPORTRANGE(""https://docs.google.com/spreadsheets/d/1Yj_ptqi66GCucihVvJfMjLAmec39IyEx_6qawtMGysU/edit?usp=sharing"",""สบก!DC77"")"),0)</f>
        <v>0</v>
      </c>
      <c r="N314" s="169">
        <f ca="1">IFERROR(__xludf.DUMMYFUNCTION("IMPORTRANGE(""https://docs.google.com/spreadsheets/d/1Yj_ptqi66GCucihVvJfMjLAmec39IyEx_6qawtMGysU/edit?usp=sharing"",""สบก!DD77"")"),0)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IFERROR(__xludf.DUMMYFUNCTION("IMPORTRANGE(""https://docs.google.com/spreadsheets/d/1Yj_ptqi66GCucihVvJfMjLAmec39IyEx_6qawtMGysU/edit?usp=sharing"",""สบก!DA77"")"),0)</f>
        <v>0</v>
      </c>
      <c r="M318" s="49"/>
      <c r="N318" s="49">
        <f ca="1">IFERROR(__xludf.DUMMYFUNCTION("IMPORTRANGE(""https://docs.google.com/spreadsheets/d/1Yj_ptqi66GCucihVvJfMjLAmec39IyEx_6qawtMGysU/edit?usp=sharing"",""สบก!DE77"")"),0)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IFERROR(__xludf.DUMMYFUNCTION("IMPORTRANGE(""https://docs.google.com/spreadsheets/d/1SX6NBoVAgQJ6U1MVXOaj8PK2l7WJ3RER9xtqwdhxkhw/edit?usp=sharing"",""สิงห์บุรี!J220"")"),0)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IFERROR(__xludf.DUMMYFUNCTION("IMPORTRANGE(""https://docs.google.com/spreadsheets/d/1SX6NBoVAgQJ6U1MVXOaj8PK2l7WJ3RER9xtqwdhxkhw/edit?usp=sharing"",""สิงห์บุรี!J221"")"),0)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IFERROR(__xludf.DUMMYFUNCTION("IMPORTRANGE(""https://docs.google.com/spreadsheets/d/1SX6NBoVAgQJ6U1MVXOaj8PK2l7WJ3RER9xtqwdhxkhw/edit?usp=sharing"",""สิงห์บุรี!J222"")"),0)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IFERROR(__xludf.DUMMYFUNCTION("IMPORTRANGE(""https://docs.google.com/spreadsheets/d/1SX6NBoVAgQJ6U1MVXOaj8PK2l7WJ3RER9xtqwdhxkhw/edit?usp=sharing"",""สิงห์บุรี!J223"")"),0)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IFERROR(__xludf.DUMMYFUNCTION("IMPORTRANGE(""https://docs.google.com/spreadsheets/d/1SX6NBoVAgQJ6U1MVXOaj8PK2l7WJ3RER9xtqwdhxkhw/edit?usp=sharing"",""สิงห์บุรี!I224"")"),0)</f>
        <v>0</v>
      </c>
      <c r="J324" s="204">
        <f ca="1">IFERROR(__xludf.DUMMYFUNCTION("IMPORTRANGE(""https://docs.google.com/spreadsheets/d/1SX6NBoVAgQJ6U1MVXOaj8PK2l7WJ3RER9xtqwdhxkhw/edit?usp=sharing"",""สิงห์บุรี!J224"")"),0)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IFERROR(__xludf.DUMMYFUNCTION("IMPORTRANGE(""https://docs.google.com/spreadsheets/d/1SX6NBoVAgQJ6U1MVXOaj8PK2l7WJ3RER9xtqwdhxkhw/edit?usp=sharing"",""สิงห์บุรี!J225"")"),0)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IFERROR(__xludf.DUMMYFUNCTION("IMPORTRANGE(""https://docs.google.com/spreadsheets/d/1SX6NBoVAgQJ6U1MVXOaj8PK2l7WJ3RER9xtqwdhxkhw/edit?usp=sharing"",""สิงห์บุรี!J226"")"),0)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IFERROR(__xludf.DUMMYFUNCTION("IMPORTRANGE(""https://docs.google.com/spreadsheets/d/1SX6NBoVAgQJ6U1MVXOaj8PK2l7WJ3RER9xtqwdhxkhw/edit?usp=sharing"",""สิงห์บุรี!I228"")"),0)</f>
        <v>0</v>
      </c>
      <c r="J328" s="340">
        <f ca="1">IFERROR(__xludf.DUMMYFUNCTION("IMPORTRANGE(""https://docs.google.com/spreadsheets/d/1SX6NBoVAgQJ6U1MVXOaj8PK2l7WJ3RER9xtqwdhxkhw/edit?usp=sharing"",""สิงห์บุรี!J228"")"),0)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684770</v>
      </c>
      <c r="M329" s="152">
        <f t="shared" ca="1" si="98"/>
        <v>719770</v>
      </c>
      <c r="N329" s="152">
        <f t="shared" ca="1" si="98"/>
        <v>562614.26</v>
      </c>
      <c r="O329" s="151">
        <f t="shared" ref="O329:O331" ca="1" si="99">IF(L329&gt;0,N329*100/L329,0)</f>
        <v>82.161055536895603</v>
      </c>
      <c r="P329" s="151">
        <f t="shared" ref="P329:P331" ca="1" si="100">IF(M329&gt;0,N329*100/M329,0)</f>
        <v>78.165839087486276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684770</v>
      </c>
      <c r="M331" s="157">
        <f t="shared" ca="1" si="102"/>
        <v>719770</v>
      </c>
      <c r="N331" s="157">
        <f t="shared" ca="1" si="102"/>
        <v>562614.26</v>
      </c>
      <c r="O331" s="156">
        <f t="shared" ca="1" si="99"/>
        <v>82.161055536895603</v>
      </c>
      <c r="P331" s="156">
        <f t="shared" ca="1" si="100"/>
        <v>78.165839087486276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537770</v>
      </c>
      <c r="M333" s="168">
        <f ca="1">IFERROR(__xludf.DUMMYFUNCTION("IMPORTRANGE(""https://docs.google.com/spreadsheets/d/1Yj_ptqi66GCucihVvJfMjLAmec39IyEx_6qawtMGysU/edit?usp=sharing"",""สบก!DL77"")"),572770)</f>
        <v>572770</v>
      </c>
      <c r="N333" s="169">
        <f ca="1">IFERROR(__xludf.DUMMYFUNCTION("IMPORTRANGE(""https://docs.google.com/spreadsheets/d/1Yj_ptqi66GCucihVvJfMjLAmec39IyEx_6qawtMGysU/edit?usp=sharing"",""สบก!DM77"")"),427614.26)</f>
        <v>427614.26</v>
      </c>
      <c r="O333" s="169">
        <f ca="1">IF(L333&gt;0,N333*100/L333,0)</f>
        <v>79.516198374769886</v>
      </c>
      <c r="P333" s="169">
        <f ca="1">IF(M333&gt;0,N333*100/M333,0)</f>
        <v>74.65723763465266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IFERROR(__xludf.DUMMYFUNCTION("IMPORTRANGE(""https://docs.google.com/spreadsheets/d/1Yj_ptqi66GCucihVvJfMjLAmec39IyEx_6qawtMGysU/edit?usp=sharing"",""สบก!DH77"")"),493800)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IFERROR(__xludf.DUMMYFUNCTION("IMPORTRANGE(""https://docs.google.com/spreadsheets/d/1Yj_ptqi66GCucihVvJfMjLAmec39IyEx_6qawtMGysU/edit?usp=sharing"",""สบก!DI77"")"),43970)</f>
        <v>43970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IFERROR(__xludf.DUMMYFUNCTION("IMPORTRANGE(""https://docs.google.com/spreadsheets/d/1Yj_ptqi66GCucihVvJfMjLAmec39IyEx_6qawtMGysU/edit?usp=sharing"",""สบก!DJ77"")"),147000)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IFERROR(__xludf.DUMMYFUNCTION("IMPORTRANGE(""https://docs.google.com/spreadsheets/d/1Yj_ptqi66GCucihVvJfMjLAmec39IyEx_6qawtMGysU/edit?usp=sharing"",""สบก!DN77"")"),135000)</f>
        <v>135000</v>
      </c>
      <c r="O337" s="49">
        <f ca="1">IF(L337&gt;0,N337*100/L337,0)</f>
        <v>91.836734693877546</v>
      </c>
      <c r="P337" s="49">
        <f ca="1">IF(M337&gt;0,N337*100/M337,0)</f>
        <v>91.836734693877546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IFERROR(__xludf.DUMMYFUNCTION("IMPORTRANGE(""https://docs.google.com/spreadsheets/d/1SX6NBoVAgQJ6U1MVXOaj8PK2l7WJ3RER9xtqwdhxkhw/edit?usp=sharing"",""สิงห์บุรี!I234"")"),0)</f>
        <v>0</v>
      </c>
      <c r="J339" s="188">
        <f ca="1">IFERROR(__xludf.DUMMYFUNCTION("IMPORTRANGE(""https://docs.google.com/spreadsheets/d/1SX6NBoVAgQJ6U1MVXOaj8PK2l7WJ3RER9xtqwdhxkhw/edit?usp=sharing"",""สิงห์บุรี!J234"")"),0)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IFERROR(__xludf.DUMMYFUNCTION("IMPORTRANGE(""https://docs.google.com/spreadsheets/d/1SX6NBoVAgQJ6U1MVXOaj8PK2l7WJ3RER9xtqwdhxkhw/edit?usp=sharing"",""สิงห์บุรี!I235"")"),0)</f>
        <v>0</v>
      </c>
      <c r="J340" s="188">
        <f ca="1">IFERROR(__xludf.DUMMYFUNCTION("IMPORTRANGE(""https://docs.google.com/spreadsheets/d/1SX6NBoVAgQJ6U1MVXOaj8PK2l7WJ3RER9xtqwdhxkhw/edit?usp=sharing"",""สิงห์บุรี!J235"")"),0)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IFERROR(__xludf.DUMMYFUNCTION("IMPORTRANGE(""https://docs.google.com/spreadsheets/d/1SX6NBoVAgQJ6U1MVXOaj8PK2l7WJ3RER9xtqwdhxkhw/edit?usp=sharing"",""สิงห์บุรี!I236"")"),0)</f>
        <v>0</v>
      </c>
      <c r="J341" s="188">
        <f ca="1">IFERROR(__xludf.DUMMYFUNCTION("IMPORTRANGE(""https://docs.google.com/spreadsheets/d/1SX6NBoVAgQJ6U1MVXOaj8PK2l7WJ3RER9xtqwdhxkhw/edit?usp=sharing"",""สิงห์บุรี!J236"")"),0)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IFERROR(__xludf.DUMMYFUNCTION("IMPORTRANGE(""https://docs.google.com/spreadsheets/d/1SX6NBoVAgQJ6U1MVXOaj8PK2l7WJ3RER9xtqwdhxkhw/edit?usp=sharing"",""สิงห์บุรี!I237"")"),0)</f>
        <v>0</v>
      </c>
      <c r="J342" s="188">
        <f ca="1">IFERROR(__xludf.DUMMYFUNCTION("IMPORTRANGE(""https://docs.google.com/spreadsheets/d/1SX6NBoVAgQJ6U1MVXOaj8PK2l7WJ3RER9xtqwdhxkhw/edit?usp=sharing"",""สิงห์บุรี!J237"")"),0)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IFERROR(__xludf.DUMMYFUNCTION("IMPORTRANGE(""https://docs.google.com/spreadsheets/d/1SX6NBoVAgQJ6U1MVXOaj8PK2l7WJ3RER9xtqwdhxkhw/edit?usp=sharing"",""สิงห์บุรี!I238"")"),0)</f>
        <v>0</v>
      </c>
      <c r="J343" s="188">
        <f ca="1">IFERROR(__xludf.DUMMYFUNCTION("IMPORTRANGE(""https://docs.google.com/spreadsheets/d/1SX6NBoVAgQJ6U1MVXOaj8PK2l7WJ3RER9xtqwdhxkhw/edit?usp=sharing"",""สิงห์บุรี!J238"")"),0)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IFERROR(__xludf.DUMMYFUNCTION("IMPORTRANGE(""https://docs.google.com/spreadsheets/d/1SX6NBoVAgQJ6U1MVXOaj8PK2l7WJ3RER9xtqwdhxkhw/edit?usp=sharing"",""สิงห์บุรี!I239"")"),0)</f>
        <v>0</v>
      </c>
      <c r="J344" s="188">
        <f ca="1">IFERROR(__xludf.DUMMYFUNCTION("IMPORTRANGE(""https://docs.google.com/spreadsheets/d/1SX6NBoVAgQJ6U1MVXOaj8PK2l7WJ3RER9xtqwdhxkhw/edit?usp=sharing"",""สิงห์บุรี!J239"")"),0)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IFERROR(__xludf.DUMMYFUNCTION("IMPORTRANGE(""https://docs.google.com/spreadsheets/d/1SX6NBoVAgQJ6U1MVXOaj8PK2l7WJ3RER9xtqwdhxkhw/edit?usp=sharing"",""สิงห์บุรี!I240"")"),0)</f>
        <v>0</v>
      </c>
      <c r="J345" s="188">
        <f ca="1">IFERROR(__xludf.DUMMYFUNCTION("IMPORTRANGE(""https://docs.google.com/spreadsheets/d/1SX6NBoVAgQJ6U1MVXOaj8PK2l7WJ3RER9xtqwdhxkhw/edit?usp=sharing"",""สิงห์บุรี!J240"")"),0)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IFERROR(__xludf.DUMMYFUNCTION("IMPORTRANGE(""https://docs.google.com/spreadsheets/d/1SX6NBoVAgQJ6U1MVXOaj8PK2l7WJ3RER9xtqwdhxkhw/edit?usp=sharing"",""สิงห์บุรี!I241"")"),0)</f>
        <v>0</v>
      </c>
      <c r="J346" s="188">
        <f ca="1">IFERROR(__xludf.DUMMYFUNCTION("IMPORTRANGE(""https://docs.google.com/spreadsheets/d/1SX6NBoVAgQJ6U1MVXOaj8PK2l7WJ3RER9xtqwdhxkhw/edit?usp=sharing"",""สิงห์บุรี!J241"")"),0)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IFERROR(__xludf.DUMMYFUNCTION("IMPORTRANGE(""https://docs.google.com/spreadsheets/d/1SX6NBoVAgQJ6U1MVXOaj8PK2l7WJ3RER9xtqwdhxkhw/edit?usp=sharing"",""สิงห์บุรี!L242"")"),324230)</f>
        <v>324230</v>
      </c>
      <c r="M347" s="358"/>
      <c r="N347" s="358">
        <f ca="1">IFERROR(__xludf.DUMMYFUNCTION("IMPORTRANGE(""https://docs.google.com/spreadsheets/d/1SX6NBoVAgQJ6U1MVXOaj8PK2l7WJ3RER9xtqwdhxkhw/edit?usp=sharing"",""สิงห์บุรี!M242"")"),257161.66)</f>
        <v>257161.66</v>
      </c>
      <c r="O347" s="358">
        <f ca="1">+IF(L347&gt;0,N347*100/L347,0)</f>
        <v>79.31457915677143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IFERROR(__xludf.DUMMYFUNCTION("IMPORTRANGE(""https://docs.google.com/spreadsheets/d/1SX6NBoVAgQJ6U1MVXOaj8PK2l7WJ3RER9xtqwdhxkhw/edit?usp=sharing"",""สิงห์บุรี!I244"")"),0)</f>
        <v>0</v>
      </c>
      <c r="J349" s="371">
        <f ca="1">IFERROR(__xludf.DUMMYFUNCTION("IMPORTRANGE(""https://docs.google.com/spreadsheets/d/1SX6NBoVAgQJ6U1MVXOaj8PK2l7WJ3RER9xtqwdhxkhw/edit?usp=sharing"",""สิงห์บุรี!J244"")"),0)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IFERROR(__xludf.DUMMYFUNCTION("IMPORTRANGE(""https://docs.google.com/spreadsheets/d/1SX6NBoVAgQJ6U1MVXOaj8PK2l7WJ3RER9xtqwdhxkhw/edit?usp=sharing"",""สิงห์บุรี!L244"")"),0)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IFERROR(__xludf.DUMMYFUNCTION("IMPORTRANGE(""https://docs.google.com/spreadsheets/d/1SX6NBoVAgQJ6U1MVXOaj8PK2l7WJ3RER9xtqwdhxkhw/edit?usp=sharing"",""สิงห์บุรี!M244"")"),0)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IFERROR(__xludf.DUMMYFUNCTION("IMPORTRANGE(""https://docs.google.com/spreadsheets/d/1SX6NBoVAgQJ6U1MVXOaj8PK2l7WJ3RER9xtqwdhxkhw/edit?usp=sharing"",""สิงห์บุรี!I245"")"),0)</f>
        <v>0</v>
      </c>
      <c r="J350" s="371">
        <f ca="1">IFERROR(__xludf.DUMMYFUNCTION("IMPORTRANGE(""https://docs.google.com/spreadsheets/d/1SX6NBoVAgQJ6U1MVXOaj8PK2l7WJ3RER9xtqwdhxkhw/edit?usp=sharing"",""สิงห์บุรี!J245"")"),0)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IFERROR(__xludf.DUMMYFUNCTION("IMPORTRANGE(""https://docs.google.com/spreadsheets/d/1SX6NBoVAgQJ6U1MVXOaj8PK2l7WJ3RER9xtqwdhxkhw/edit?usp=sharing"",""สิงห์บุรี!L246"")"),0)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IFERROR(__xludf.DUMMYFUNCTION("IMPORTRANGE(""https://docs.google.com/spreadsheets/d/1SX6NBoVAgQJ6U1MVXOaj8PK2l7WJ3RER9xtqwdhxkhw/edit?usp=sharing"",""สิงห์บุรี!M246"")"),0)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IFERROR(__xludf.DUMMYFUNCTION("IMPORTRANGE(""https://docs.google.com/spreadsheets/d/1SX6NBoVAgQJ6U1MVXOaj8PK2l7WJ3RER9xtqwdhxkhw/edit?usp=sharing"",""สิงห์บุรี!L247"")"),0)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IFERROR(__xludf.DUMMYFUNCTION("IMPORTRANGE(""https://docs.google.com/spreadsheets/d/1SX6NBoVAgQJ6U1MVXOaj8PK2l7WJ3RER9xtqwdhxkhw/edit?usp=sharing"",""สิงห์บุรี!M247"")"),0)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IFERROR(__xludf.DUMMYFUNCTION("IMPORTRANGE(""https://docs.google.com/spreadsheets/d/1SX6NBoVAgQJ6U1MVXOaj8PK2l7WJ3RER9xtqwdhxkhw/edit?usp=sharing"",""สิงห์บุรี!L248"")"),0)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IFERROR(__xludf.DUMMYFUNCTION("IMPORTRANGE(""https://docs.google.com/spreadsheets/d/1SX6NBoVAgQJ6U1MVXOaj8PK2l7WJ3RER9xtqwdhxkhw/edit?usp=sharing"",""สิงห์บุรี!M248"")"),0)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IFERROR(__xludf.DUMMYFUNCTION("IMPORTRANGE(""https://docs.google.com/spreadsheets/d/1SX6NBoVAgQJ6U1MVXOaj8PK2l7WJ3RER9xtqwdhxkhw/edit?usp=sharing"",""สิงห์บุรี!L249"")"),0)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IFERROR(__xludf.DUMMYFUNCTION("IMPORTRANGE(""https://docs.google.com/spreadsheets/d/1SX6NBoVAgQJ6U1MVXOaj8PK2l7WJ3RER9xtqwdhxkhw/edit?usp=sharing"",""สิงห์บุรี!M249"")"),0)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IFERROR(__xludf.DUMMYFUNCTION("IMPORTRANGE(""https://docs.google.com/spreadsheets/d/1SX6NBoVAgQJ6U1MVXOaj8PK2l7WJ3RER9xtqwdhxkhw/edit?usp=sharing"",""สิงห์บุรี!M250"")"),0)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IFERROR(__xludf.DUMMYFUNCTION("IMPORTRANGE(""https://docs.google.com/spreadsheets/d/1SX6NBoVAgQJ6U1MVXOaj8PK2l7WJ3RER9xtqwdhxkhw/edit?usp=sharing"",""สิงห์บุรี!M251"")"),0)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IFERROR(__xludf.DUMMYFUNCTION("IMPORTRANGE(""https://docs.google.com/spreadsheets/d/1SX6NBoVAgQJ6U1MVXOaj8PK2l7WJ3RER9xtqwdhxkhw/edit?usp=sharing"",""สิงห์บุรี!M252"")"),0)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IFERROR(__xludf.DUMMYFUNCTION("IMPORTRANGE(""https://docs.google.com/spreadsheets/d/1SX6NBoVAgQJ6U1MVXOaj8PK2l7WJ3RER9xtqwdhxkhw/edit?usp=sharing"",""สิงห์บุรี!M253"")"),0)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IFERROR(__xludf.DUMMYFUNCTION("IMPORTRANGE(""https://docs.google.com/spreadsheets/d/1SX6NBoVAgQJ6U1MVXOaj8PK2l7WJ3RER9xtqwdhxkhw/edit?usp=sharing"",""สิงห์บุรี!J255"")"),0)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IFERROR(__xludf.DUMMYFUNCTION("IMPORTRANGE(""https://docs.google.com/spreadsheets/d/1SX6NBoVAgQJ6U1MVXOaj8PK2l7WJ3RER9xtqwdhxkhw/edit?usp=sharing"",""สิงห์บุรี!J256"")"),0)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IFERROR(__xludf.DUMMYFUNCTION("IMPORTRANGE(""https://docs.google.com/spreadsheets/d/1SX6NBoVAgQJ6U1MVXOaj8PK2l7WJ3RER9xtqwdhxkhw/edit?usp=sharing"",""สิงห์บุรี!J257"")"),0)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IFERROR(__xludf.DUMMYFUNCTION("IMPORTRANGE(""https://docs.google.com/spreadsheets/d/1SX6NBoVAgQJ6U1MVXOaj8PK2l7WJ3RER9xtqwdhxkhw/edit?usp=sharing"",""สิงห์บุรี!J258"")"),0)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IFERROR(__xludf.DUMMYFUNCTION("IMPORTRANGE(""https://docs.google.com/spreadsheets/d/1SX6NBoVAgQJ6U1MVXOaj8PK2l7WJ3RER9xtqwdhxkhw/edit?usp=sharing"",""สิงห์บุรี!J166"")"),0)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IFERROR(__xludf.DUMMYFUNCTION("IMPORTRANGE(""https://docs.google.com/spreadsheets/d/1SX6NBoVAgQJ6U1MVXOaj8PK2l7WJ3RER9xtqwdhxkhw/edit?usp=sharing"",""สิงห์บุรี!J166"")"),0)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IFERROR(__xludf.DUMMYFUNCTION("IMPORTRANGE(""https://docs.google.com/spreadsheets/d/1SX6NBoVAgQJ6U1MVXOaj8PK2l7WJ3RER9xtqwdhxkhw/edit?usp=sharing"",""สิงห์บุรี!J166"")"),0)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IFERROR(__xludf.DUMMYFUNCTION("IMPORTRANGE(""https://docs.google.com/spreadsheets/d/1SX6NBoVAgQJ6U1MVXOaj8PK2l7WJ3RER9xtqwdhxkhw/edit?usp=sharing"",""สิงห์บุรี!J166"")"),0)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IFERROR(__xludf.DUMMYFUNCTION("IMPORTRANGE(""https://docs.google.com/spreadsheets/d/1SX6NBoVAgQJ6U1MVXOaj8PK2l7WJ3RER9xtqwdhxkhw/edit?usp=sharing"",""สิงห์บุรี!I263"")"),0)</f>
        <v>0</v>
      </c>
      <c r="J368" s="188">
        <f ca="1">IFERROR(__xludf.DUMMYFUNCTION("IMPORTRANGE(""https://docs.google.com/spreadsheets/d/1SX6NBoVAgQJ6U1MVXOaj8PK2l7WJ3RER9xtqwdhxkhw/edit?usp=sharing"",""สิงห์บุรี!J263"")"),0)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IFERROR(__xludf.DUMMYFUNCTION("IMPORTRANGE(""https://docs.google.com/spreadsheets/d/1SX6NBoVAgQJ6U1MVXOaj8PK2l7WJ3RER9xtqwdhxkhw/edit?usp=sharing"",""สิงห์บุรี!I164"")"),0)</f>
        <v>0</v>
      </c>
      <c r="J369" s="204">
        <f ca="1">IFERROR(__xludf.DUMMYFUNCTION("IMPORTRANGE(""https://docs.google.com/spreadsheets/d/1SX6NBoVAgQJ6U1MVXOaj8PK2l7WJ3RER9xtqwdhxkhw/edit?usp=sharing"",""สิงห์บุรี!J164"")"),0)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IFERROR(__xludf.DUMMYFUNCTION("IMPORTRANGE(""https://docs.google.com/spreadsheets/d/1SX6NBoVAgQJ6U1MVXOaj8PK2l7WJ3RER9xtqwdhxkhw/edit?usp=sharing"",""สิงห์บุรี!I265"")"),0)</f>
        <v>0</v>
      </c>
      <c r="J370" s="204">
        <f ca="1">IFERROR(__xludf.DUMMYFUNCTION("IMPORTRANGE(""https://docs.google.com/spreadsheets/d/1SX6NBoVAgQJ6U1MVXOaj8PK2l7WJ3RER9xtqwdhxkhw/edit?usp=sharing"",""สิงห์บุรี!J265"")"),0)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IFERROR(__xludf.DUMMYFUNCTION("IMPORTRANGE(""https://docs.google.com/spreadsheets/d/1SX6NBoVAgQJ6U1MVXOaj8PK2l7WJ3RER9xtqwdhxkhw/edit?usp=sharing"",""สิงห์บุรี!I164"")"),0)</f>
        <v>0</v>
      </c>
      <c r="J371" s="189">
        <f ca="1">IFERROR(__xludf.DUMMYFUNCTION("IMPORTRANGE(""https://docs.google.com/spreadsheets/d/1SX6NBoVAgQJ6U1MVXOaj8PK2l7WJ3RER9xtqwdhxkhw/edit?usp=sharing"",""สิงห์บุรี!J164"")"),0)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IFERROR(__xludf.DUMMYFUNCTION("IMPORTRANGE(""https://docs.google.com/spreadsheets/d/1SX6NBoVAgQJ6U1MVXOaj8PK2l7WJ3RER9xtqwdhxkhw/edit?usp=sharing"",""สิงห์บุรี!I267"")"),0)</f>
        <v>0</v>
      </c>
      <c r="J372" s="189">
        <f ca="1">IFERROR(__xludf.DUMMYFUNCTION("IMPORTRANGE(""https://docs.google.com/spreadsheets/d/1SX6NBoVAgQJ6U1MVXOaj8PK2l7WJ3RER9xtqwdhxkhw/edit?usp=sharing"",""สิงห์บุรี!J267"")"),0)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IFERROR(__xludf.DUMMYFUNCTION("IMPORTRANGE(""https://docs.google.com/spreadsheets/d/1SX6NBoVAgQJ6U1MVXOaj8PK2l7WJ3RER9xtqwdhxkhw/edit?usp=sharing"",""สิงห์บุรี!I164"")"),0)</f>
        <v>0</v>
      </c>
      <c r="J373" s="204">
        <f ca="1">IFERROR(__xludf.DUMMYFUNCTION("IMPORTRANGE(""https://docs.google.com/spreadsheets/d/1SX6NBoVAgQJ6U1MVXOaj8PK2l7WJ3RER9xtqwdhxkhw/edit?usp=sharing"",""สิงห์บุรี!J164"")"),0)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IFERROR(__xludf.DUMMYFUNCTION("IMPORTRANGE(""https://docs.google.com/spreadsheets/d/1SX6NBoVAgQJ6U1MVXOaj8PK2l7WJ3RER9xtqwdhxkhw/edit?usp=sharing"",""สิงห์บุรี!I164"")"),0)</f>
        <v>0</v>
      </c>
      <c r="J374" s="188">
        <f ca="1">IFERROR(__xludf.DUMMYFUNCTION("IMPORTRANGE(""https://docs.google.com/spreadsheets/d/1SX6NBoVAgQJ6U1MVXOaj8PK2l7WJ3RER9xtqwdhxkhw/edit?usp=sharing"",""สิงห์บุรี!J164"")"),0)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IFERROR(__xludf.DUMMYFUNCTION("IMPORTRANGE(""https://docs.google.com/spreadsheets/d/1SX6NBoVAgQJ6U1MVXOaj8PK2l7WJ3RER9xtqwdhxkhw/edit?usp=sharing"",""สิงห์บุรี!I270"")"),0)</f>
        <v>0</v>
      </c>
      <c r="J375" s="188">
        <f ca="1">IFERROR(__xludf.DUMMYFUNCTION("IMPORTRANGE(""https://docs.google.com/spreadsheets/d/1SX6NBoVAgQJ6U1MVXOaj8PK2l7WJ3RER9xtqwdhxkhw/edit?usp=sharing"",""สิงห์บุรี!J270"")"),0)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IFERROR(__xludf.DUMMYFUNCTION("IMPORTRANGE(""https://docs.google.com/spreadsheets/d/1SX6NBoVAgQJ6U1MVXOaj8PK2l7WJ3RER9xtqwdhxkhw/edit?usp=sharing"",""สิงห์บุรี!I271"")"),0)</f>
        <v>0</v>
      </c>
      <c r="J376" s="189">
        <f ca="1">IFERROR(__xludf.DUMMYFUNCTION("IMPORTRANGE(""https://docs.google.com/spreadsheets/d/1SX6NBoVAgQJ6U1MVXOaj8PK2l7WJ3RER9xtqwdhxkhw/edit?usp=sharing"",""สิงห์บุรี!J271"")"),0)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IFERROR(__xludf.DUMMYFUNCTION("IMPORTRANGE(""https://docs.google.com/spreadsheets/d/1SX6NBoVAgQJ6U1MVXOaj8PK2l7WJ3RER9xtqwdhxkhw/edit?usp=sharing"",""สิงห์บุรี!I272"")"),0)</f>
        <v>0</v>
      </c>
      <c r="J377" s="204">
        <f ca="1">IFERROR(__xludf.DUMMYFUNCTION("IMPORTRANGE(""https://docs.google.com/spreadsheets/d/1SX6NBoVAgQJ6U1MVXOaj8PK2l7WJ3RER9xtqwdhxkhw/edit?usp=sharing"",""สิงห์บุรี!J272"")"),0)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IFERROR(__xludf.DUMMYFUNCTION("IMPORTRANGE(""https://docs.google.com/spreadsheets/d/1SX6NBoVAgQJ6U1MVXOaj8PK2l7WJ3RER9xtqwdhxkhw/edit?usp=sharing"",""สิงห์บุรี!J273"")"),0)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IFERROR(__xludf.DUMMYFUNCTION("IMPORTRANGE(""https://docs.google.com/spreadsheets/d/1SX6NBoVAgQJ6U1MVXOaj8PK2l7WJ3RER9xtqwdhxkhw/edit?usp=sharing"",""สิงห์บุรี!J274"")"),0)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IFERROR(__xludf.DUMMYFUNCTION("IMPORTRANGE(""https://docs.google.com/spreadsheets/d/1SX6NBoVAgQJ6U1MVXOaj8PK2l7WJ3RER9xtqwdhxkhw/edit?usp=sharing"",""สิงห์บุรี!I275"")"),0)</f>
        <v>0</v>
      </c>
      <c r="J380" s="371">
        <f ca="1">IFERROR(__xludf.DUMMYFUNCTION("IMPORTRANGE(""https://docs.google.com/spreadsheets/d/1SX6NBoVAgQJ6U1MVXOaj8PK2l7WJ3RER9xtqwdhxkhw/edit?usp=sharing"",""สิงห์บุรี!J275"")"),0)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IFERROR(__xludf.DUMMYFUNCTION("IMPORTRANGE(""https://docs.google.com/spreadsheets/d/1SX6NBoVAgQJ6U1MVXOaj8PK2l7WJ3RER9xtqwdhxkhw/edit?usp=sharing"",""สิงห์บุรี!L275"")"),0)</f>
        <v>0</v>
      </c>
      <c r="M380" s="373"/>
      <c r="N380" s="373">
        <f ca="1">IFERROR(__xludf.DUMMYFUNCTION("IMPORTRANGE(""https://docs.google.com/spreadsheets/d/1SX6NBoVAgQJ6U1MVXOaj8PK2l7WJ3RER9xtqwdhxkhw/edit?usp=sharing"",""สิงห์บุรี!M275"")"),0)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IFERROR(__xludf.DUMMYFUNCTION("IMPORTRANGE(""https://docs.google.com/spreadsheets/d/1SX6NBoVAgQJ6U1MVXOaj8PK2l7WJ3RER9xtqwdhxkhw/edit?usp=sharing"",""สิงห์บุรี!I276"")"),0)</f>
        <v>0</v>
      </c>
      <c r="J381" s="371">
        <f ca="1">IFERROR(__xludf.DUMMYFUNCTION("IMPORTRANGE(""https://docs.google.com/spreadsheets/d/1SX6NBoVAgQJ6U1MVXOaj8PK2l7WJ3RER9xtqwdhxkhw/edit?usp=sharing"",""สิงห์บุรี!J276"")"),0)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IFERROR(__xludf.DUMMYFUNCTION("IMPORTRANGE(""https://docs.google.com/spreadsheets/d/1SX6NBoVAgQJ6U1MVXOaj8PK2l7WJ3RER9xtqwdhxkhw/edit?usp=sharing"",""สิงห์บุรี!L277"")"),0)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IFERROR(__xludf.DUMMYFUNCTION("IMPORTRANGE(""https://docs.google.com/spreadsheets/d/1SX6NBoVAgQJ6U1MVXOaj8PK2l7WJ3RER9xtqwdhxkhw/edit?usp=sharing"",""สิงห์บุรี!M277"")"),0)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IFERROR(__xludf.DUMMYFUNCTION("IMPORTRANGE(""https://docs.google.com/spreadsheets/d/1SX6NBoVAgQJ6U1MVXOaj8PK2l7WJ3RER9xtqwdhxkhw/edit?usp=sharing"",""สิงห์บุรี!L278"")"),0)</f>
        <v>0</v>
      </c>
      <c r="M383" s="165"/>
      <c r="N383" s="165">
        <f ca="1">IFERROR(__xludf.DUMMYFUNCTION("IMPORTRANGE(""https://docs.google.com/spreadsheets/d/1SX6NBoVAgQJ6U1MVXOaj8PK2l7WJ3RER9xtqwdhxkhw/edit?usp=sharing"",""สิงห์บุรี!M278"")"),0)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IFERROR(__xludf.DUMMYFUNCTION("IMPORTRANGE(""https://docs.google.com/spreadsheets/d/1SX6NBoVAgQJ6U1MVXOaj8PK2l7WJ3RER9xtqwdhxkhw/edit?usp=sharing"",""สิงห์บุรี!L279"")"),0)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IFERROR(__xludf.DUMMYFUNCTION("IMPORTRANGE(""https://docs.google.com/spreadsheets/d/1SX6NBoVAgQJ6U1MVXOaj8PK2l7WJ3RER9xtqwdhxkhw/edit?usp=sharing"",""สิงห์บุรี!M279"")"),0)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IFERROR(__xludf.DUMMYFUNCTION("IMPORTRANGE(""https://docs.google.com/spreadsheets/d/1SX6NBoVAgQJ6U1MVXOaj8PK2l7WJ3RER9xtqwdhxkhw/edit?usp=sharing"",""สิงห์บุรี!L280"")"),0)</f>
        <v>0</v>
      </c>
      <c r="M385" s="169"/>
      <c r="N385" s="168">
        <f ca="1">IFERROR(__xludf.DUMMYFUNCTION("IMPORTRANGE(""https://docs.google.com/spreadsheets/d/1SX6NBoVAgQJ6U1MVXOaj8PK2l7WJ3RER9xtqwdhxkhw/edit?usp=sharing"",""สิงห์บุรี!M280"")"),0)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IFERROR(__xludf.DUMMYFUNCTION("IMPORTRANGE(""https://docs.google.com/spreadsheets/d/1SX6NBoVAgQJ6U1MVXOaj8PK2l7WJ3RER9xtqwdhxkhw/edit?usp=sharing"",""สิงห์บุรี!M281"")"),0)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IFERROR(__xludf.DUMMYFUNCTION("IMPORTRANGE(""https://docs.google.com/spreadsheets/d/1SX6NBoVAgQJ6U1MVXOaj8PK2l7WJ3RER9xtqwdhxkhw/edit?usp=sharing"",""สิงห์บุรี!M282"")"),0)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IFERROR(__xludf.DUMMYFUNCTION("IMPORTRANGE(""https://docs.google.com/spreadsheets/d/1SX6NBoVAgQJ6U1MVXOaj8PK2l7WJ3RER9xtqwdhxkhw/edit?usp=sharing"",""สิงห์บุรี!M283"")"),0)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IFERROR(__xludf.DUMMYFUNCTION("IMPORTRANGE(""https://docs.google.com/spreadsheets/d/1SX6NBoVAgQJ6U1MVXOaj8PK2l7WJ3RER9xtqwdhxkhw/edit?usp=sharing"",""สิงห์บุรี!M284"")"),0)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IFERROR(__xludf.DUMMYFUNCTION("IMPORTRANGE(""https://docs.google.com/spreadsheets/d/1SX6NBoVAgQJ6U1MVXOaj8PK2l7WJ3RER9xtqwdhxkhw/edit?usp=sharing"",""สิงห์บุรี!J286"")"),0)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IFERROR(__xludf.DUMMYFUNCTION("IMPORTRANGE(""https://docs.google.com/spreadsheets/d/1SX6NBoVAgQJ6U1MVXOaj8PK2l7WJ3RER9xtqwdhxkhw/edit?usp=sharing"",""สิงห์บุรี!J287"")"),0)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IFERROR(__xludf.DUMMYFUNCTION("IMPORTRANGE(""https://docs.google.com/spreadsheets/d/1SX6NBoVAgQJ6U1MVXOaj8PK2l7WJ3RER9xtqwdhxkhw/edit?usp=sharing"",""สิงห์บุรี!J288"")"),0)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IFERROR(__xludf.DUMMYFUNCTION("IMPORTRANGE(""https://docs.google.com/spreadsheets/d/1SX6NBoVAgQJ6U1MVXOaj8PK2l7WJ3RER9xtqwdhxkhw/edit?usp=sharing"",""สิงห์บุรี!J289"")"),0)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IFERROR(__xludf.DUMMYFUNCTION("IMPORTRANGE(""https://docs.google.com/spreadsheets/d/1SX6NBoVAgQJ6U1MVXOaj8PK2l7WJ3RER9xtqwdhxkhw/edit?usp=sharing"",""สิงห์บุรี!I291"")"),0)</f>
        <v>0</v>
      </c>
      <c r="J396" s="198">
        <f ca="1">IFERROR(__xludf.DUMMYFUNCTION("IMPORTRANGE(""https://docs.google.com/spreadsheets/d/1SX6NBoVAgQJ6U1MVXOaj8PK2l7WJ3RER9xtqwdhxkhw/edit?usp=sharing"",""สิงห์บุรี!J291"")"),0)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IFERROR(__xludf.DUMMYFUNCTION("IMPORTRANGE(""https://docs.google.com/spreadsheets/d/1SX6NBoVAgQJ6U1MVXOaj8PK2l7WJ3RER9xtqwdhxkhw/edit?usp=sharing"",""สิงห์บุรี!I292"")"),0)</f>
        <v>0</v>
      </c>
      <c r="J397" s="198">
        <f ca="1">IFERROR(__xludf.DUMMYFUNCTION("IMPORTRANGE(""https://docs.google.com/spreadsheets/d/1SX6NBoVAgQJ6U1MVXOaj8PK2l7WJ3RER9xtqwdhxkhw/edit?usp=sharing"",""สิงห์บุรี!J292"")"),0)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IFERROR(__xludf.DUMMYFUNCTION("IMPORTRANGE(""https://docs.google.com/spreadsheets/d/1SX6NBoVAgQJ6U1MVXOaj8PK2l7WJ3RER9xtqwdhxkhw/edit?usp=sharing"",""สิงห์บุรี!I293"")"),0)</f>
        <v>0</v>
      </c>
      <c r="J398" s="198">
        <f ca="1">IFERROR(__xludf.DUMMYFUNCTION("IMPORTRANGE(""https://docs.google.com/spreadsheets/d/1SX6NBoVAgQJ6U1MVXOaj8PK2l7WJ3RER9xtqwdhxkhw/edit?usp=sharing"",""สิงห์บุรี!J293"")"),0)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IFERROR(__xludf.DUMMYFUNCTION("IMPORTRANGE(""https://docs.google.com/spreadsheets/d/1SX6NBoVAgQJ6U1MVXOaj8PK2l7WJ3RER9xtqwdhxkhw/edit?usp=sharing"",""สิงห์บุรี!J294"")"),0)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IFERROR(__xludf.DUMMYFUNCTION("IMPORTRANGE(""https://docs.google.com/spreadsheets/d/1SX6NBoVAgQJ6U1MVXOaj8PK2l7WJ3RER9xtqwdhxkhw/edit?usp=sharing"",""สิงห์บุรี!J295"")"),0)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IFERROR(__xludf.DUMMYFUNCTION("IMPORTRANGE(""https://docs.google.com/spreadsheets/d/1SX6NBoVAgQJ6U1MVXOaj8PK2l7WJ3RER9xtqwdhxkhw/edit?usp=sharing"",""สิงห์บุรี!I296"")"),87)</f>
        <v>87</v>
      </c>
      <c r="J401" s="371">
        <f ca="1">IFERROR(__xludf.DUMMYFUNCTION("IMPORTRANGE(""https://docs.google.com/spreadsheets/d/1SX6NBoVAgQJ6U1MVXOaj8PK2l7WJ3RER9xtqwdhxkhw/edit?usp=sharing"",""สิงห์บุรี!J296"")"),87)</f>
        <v>87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IFERROR(__xludf.DUMMYFUNCTION("IMPORTRANGE(""https://docs.google.com/spreadsheets/d/1SX6NBoVAgQJ6U1MVXOaj8PK2l7WJ3RER9xtqwdhxkhw/edit?usp=sharing"",""สิงห์บุรี!L296"")"),98950)</f>
        <v>98950</v>
      </c>
      <c r="M401" s="373"/>
      <c r="N401" s="373">
        <f ca="1">IFERROR(__xludf.DUMMYFUNCTION("IMPORTRANGE(""https://docs.google.com/spreadsheets/d/1SX6NBoVAgQJ6U1MVXOaj8PK2l7WJ3RER9xtqwdhxkhw/edit?usp=sharing"",""สิงห์บุรี!M296"")"),98950)</f>
        <v>98950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IFERROR(__xludf.DUMMYFUNCTION("IMPORTRANGE(""https://docs.google.com/spreadsheets/d/1SX6NBoVAgQJ6U1MVXOaj8PK2l7WJ3RER9xtqwdhxkhw/edit?usp=sharing"",""สิงห์บุรี!I297"")"),29)</f>
        <v>29</v>
      </c>
      <c r="J402" s="371">
        <f ca="1">IFERROR(__xludf.DUMMYFUNCTION("IMPORTRANGE(""https://docs.google.com/spreadsheets/d/1SX6NBoVAgQJ6U1MVXOaj8PK2l7WJ3RER9xtqwdhxkhw/edit?usp=sharing"",""สิงห์บุรี!J297"")"),29)</f>
        <v>29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IFERROR(__xludf.DUMMYFUNCTION("IMPORTRANGE(""https://docs.google.com/spreadsheets/d/1SX6NBoVAgQJ6U1MVXOaj8PK2l7WJ3RER9xtqwdhxkhw/edit?usp=sharing"",""สิงห์บุรี!L298"")"),0)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IFERROR(__xludf.DUMMYFUNCTION("IMPORTRANGE(""https://docs.google.com/spreadsheets/d/1SX6NBoVAgQJ6U1MVXOaj8PK2l7WJ3RER9xtqwdhxkhw/edit?usp=sharing"",""สิงห์บุรี!M298"")"),0)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IFERROR(__xludf.DUMMYFUNCTION("IMPORTRANGE(""https://docs.google.com/spreadsheets/d/1SX6NBoVAgQJ6U1MVXOaj8PK2l7WJ3RER9xtqwdhxkhw/edit?usp=sharing"",""สิงห์บุรี!L299"")"),98950)</f>
        <v>98950</v>
      </c>
      <c r="M404" s="165"/>
      <c r="N404" s="169">
        <f ca="1">IFERROR(__xludf.DUMMYFUNCTION("IMPORTRANGE(""https://docs.google.com/spreadsheets/d/1SX6NBoVAgQJ6U1MVXOaj8PK2l7WJ3RER9xtqwdhxkhw/edit?usp=sharing"",""สิงห์บุรี!M299"")"),98950)</f>
        <v>98950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IFERROR(__xludf.DUMMYFUNCTION("IMPORTRANGE(""https://docs.google.com/spreadsheets/d/1SX6NBoVAgQJ6U1MVXOaj8PK2l7WJ3RER9xtqwdhxkhw/edit?usp=sharing"",""สิงห์บุรี!L300"")"),0)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IFERROR(__xludf.DUMMYFUNCTION("IMPORTRANGE(""https://docs.google.com/spreadsheets/d/1SX6NBoVAgQJ6U1MVXOaj8PK2l7WJ3RER9xtqwdhxkhw/edit?usp=sharing"",""สิงห์บุรี!M300"")"),0)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IFERROR(__xludf.DUMMYFUNCTION("IMPORTRANGE(""https://docs.google.com/spreadsheets/d/1SX6NBoVAgQJ6U1MVXOaj8PK2l7WJ3RER9xtqwdhxkhw/edit?usp=sharing"",""สิงห์บุรี!L301"")"),98950)</f>
        <v>98950</v>
      </c>
      <c r="M406" s="169"/>
      <c r="N406" s="169">
        <f ca="1">IFERROR(__xludf.DUMMYFUNCTION("IMPORTRANGE(""https://docs.google.com/spreadsheets/d/1SX6NBoVAgQJ6U1MVXOaj8PK2l7WJ3RER9xtqwdhxkhw/edit?usp=sharing"",""สิงห์บุรี!M301"")"),98950)</f>
        <v>98950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IFERROR(__xludf.DUMMYFUNCTION("IMPORTRANGE(""https://docs.google.com/spreadsheets/d/1SX6NBoVAgQJ6U1MVXOaj8PK2l7WJ3RER9xtqwdhxkhw/edit?usp=sharing"",""สิงห์บุรี!M302"")"),63330)</f>
        <v>63330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IFERROR(__xludf.DUMMYFUNCTION("IMPORTRANGE(""https://docs.google.com/spreadsheets/d/1SX6NBoVAgQJ6U1MVXOaj8PK2l7WJ3RER9xtqwdhxkhw/edit?usp=sharing"",""สิงห์บุรี!M303"")"),13300)</f>
        <v>13300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IFERROR(__xludf.DUMMYFUNCTION("IMPORTRANGE(""https://docs.google.com/spreadsheets/d/1SX6NBoVAgQJ6U1MVXOaj8PK2l7WJ3RER9xtqwdhxkhw/edit?usp=sharing"",""สิงห์บุรี!M304"")"),0)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IFERROR(__xludf.DUMMYFUNCTION("IMPORTRANGE(""https://docs.google.com/spreadsheets/d/1SX6NBoVAgQJ6U1MVXOaj8PK2l7WJ3RER9xtqwdhxkhw/edit?usp=sharing"",""สิงห์บุรี!M305"")"),22320)</f>
        <v>22320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IFERROR(__xludf.DUMMYFUNCTION("IMPORTRANGE(""https://docs.google.com/spreadsheets/d/1SX6NBoVAgQJ6U1MVXOaj8PK2l7WJ3RER9xtqwdhxkhw/edit?usp=sharing"",""สิงห์บุรี!J307"")"),0)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IFERROR(__xludf.DUMMYFUNCTION("IMPORTRANGE(""https://docs.google.com/spreadsheets/d/1SX6NBoVAgQJ6U1MVXOaj8PK2l7WJ3RER9xtqwdhxkhw/edit?usp=sharing"",""สิงห์บุรี!J308"")"),1)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IFERROR(__xludf.DUMMYFUNCTION("IMPORTRANGE(""https://docs.google.com/spreadsheets/d/1SX6NBoVAgQJ6U1MVXOaj8PK2l7WJ3RER9xtqwdhxkhw/edit?usp=sharing"",""สิงห์บุรี!J309"")"),1)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IFERROR(__xludf.DUMMYFUNCTION("IMPORTRANGE(""https://docs.google.com/spreadsheets/d/1SX6NBoVAgQJ6U1MVXOaj8PK2l7WJ3RER9xtqwdhxkhw/edit?usp=sharing"",""สิงห์บุรี!J310"")"),1)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IFERROR(__xludf.DUMMYFUNCTION("IMPORTRANGE(""https://docs.google.com/spreadsheets/d/1SX6NBoVAgQJ6U1MVXOaj8PK2l7WJ3RER9xtqwdhxkhw/edit?usp=sharing"",""สิงห์บุรี!I311"")"),29)</f>
        <v>29</v>
      </c>
      <c r="J416" s="201">
        <f ca="1">IFERROR(__xludf.DUMMYFUNCTION("IMPORTRANGE(""https://docs.google.com/spreadsheets/d/1SX6NBoVAgQJ6U1MVXOaj8PK2l7WJ3RER9xtqwdhxkhw/edit?usp=sharing"",""สิงห์บุรี!J311"")"),29)</f>
        <v>29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IFERROR(__xludf.DUMMYFUNCTION("IMPORTRANGE(""https://docs.google.com/spreadsheets/d/1SX6NBoVAgQJ6U1MVXOaj8PK2l7WJ3RER9xtqwdhxkhw/edit?usp=sharing"",""สิงห์บุรี!I312"")"),0)</f>
        <v>0</v>
      </c>
      <c r="J417" s="392">
        <f ca="1">IFERROR(__xludf.DUMMYFUNCTION("IMPORTRANGE(""https://docs.google.com/spreadsheets/d/1SX6NBoVAgQJ6U1MVXOaj8PK2l7WJ3RER9xtqwdhxkhw/edit?usp=sharing"",""สิงห์บุรี!J312"")"),0)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IFERROR(__xludf.DUMMYFUNCTION("IMPORTRANGE(""https://docs.google.com/spreadsheets/d/1SX6NBoVAgQJ6U1MVXOaj8PK2l7WJ3RER9xtqwdhxkhw/edit?usp=sharing"",""สิงห์บุรี!I313"")"),0)</f>
        <v>0</v>
      </c>
      <c r="J418" s="393">
        <f ca="1">IFERROR(__xludf.DUMMYFUNCTION("IMPORTRANGE(""https://docs.google.com/spreadsheets/d/1SX6NBoVAgQJ6U1MVXOaj8PK2l7WJ3RER9xtqwdhxkhw/edit?usp=sharing"",""สิงห์บุรี!J313"")"),0)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IFERROR(__xludf.DUMMYFUNCTION("IMPORTRANGE(""https://docs.google.com/spreadsheets/d/1SX6NBoVAgQJ6U1MVXOaj8PK2l7WJ3RER9xtqwdhxkhw/edit?usp=sharing"",""สิงห์บุรี!I314"")"),0)</f>
        <v>0</v>
      </c>
      <c r="J419" s="394">
        <f ca="1">IFERROR(__xludf.DUMMYFUNCTION("IMPORTRANGE(""https://docs.google.com/spreadsheets/d/1SX6NBoVAgQJ6U1MVXOaj8PK2l7WJ3RER9xtqwdhxkhw/edit?usp=sharing"",""สิงห์บุรี!J314"")"),0)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IFERROR(__xludf.DUMMYFUNCTION("IMPORTRANGE(""https://docs.google.com/spreadsheets/d/1SX6NBoVAgQJ6U1MVXOaj8PK2l7WJ3RER9xtqwdhxkhw/edit?usp=sharing"",""สิงห์บุรี!I315"")"),0)</f>
        <v>0</v>
      </c>
      <c r="J420" s="394">
        <f ca="1">IFERROR(__xludf.DUMMYFUNCTION("IMPORTRANGE(""https://docs.google.com/spreadsheets/d/1SX6NBoVAgQJ6U1MVXOaj8PK2l7WJ3RER9xtqwdhxkhw/edit?usp=sharing"",""สิงห์บุรี!J315"")"),0)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IFERROR(__xludf.DUMMYFUNCTION("IMPORTRANGE(""https://docs.google.com/spreadsheets/d/1SX6NBoVAgQJ6U1MVXOaj8PK2l7WJ3RER9xtqwdhxkhw/edit?usp=sharing"",""สิงห์บุรี!I316"")"),19)</f>
        <v>19</v>
      </c>
      <c r="J421" s="392">
        <f ca="1">IFERROR(__xludf.DUMMYFUNCTION("IMPORTRANGE(""https://docs.google.com/spreadsheets/d/1SX6NBoVAgQJ6U1MVXOaj8PK2l7WJ3RER9xtqwdhxkhw/edit?usp=sharing"",""สิงห์บุรี!J316"")"),19)</f>
        <v>19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IFERROR(__xludf.DUMMYFUNCTION("IMPORTRANGE(""https://docs.google.com/spreadsheets/d/1SX6NBoVAgQJ6U1MVXOaj8PK2l7WJ3RER9xtqwdhxkhw/edit?usp=sharing"",""สิงห์บุรี!I317"")"),57)</f>
        <v>57</v>
      </c>
      <c r="J422" s="393">
        <f ca="1">IFERROR(__xludf.DUMMYFUNCTION("IMPORTRANGE(""https://docs.google.com/spreadsheets/d/1SX6NBoVAgQJ6U1MVXOaj8PK2l7WJ3RER9xtqwdhxkhw/edit?usp=sharing"",""สิงห์บุรี!J317"")"),57)</f>
        <v>57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IFERROR(__xludf.DUMMYFUNCTION("IMPORTRANGE(""https://docs.google.com/spreadsheets/d/1SX6NBoVAgQJ6U1MVXOaj8PK2l7WJ3RER9xtqwdhxkhw/edit?usp=sharing"",""สิงห์บุรี!I318"")"),19)</f>
        <v>19</v>
      </c>
      <c r="J423" s="394">
        <f ca="1">IFERROR(__xludf.DUMMYFUNCTION("IMPORTRANGE(""https://docs.google.com/spreadsheets/d/1SX6NBoVAgQJ6U1MVXOaj8PK2l7WJ3RER9xtqwdhxkhw/edit?usp=sharing"",""สิงห์บุรี!J318"")"),19)</f>
        <v>19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IFERROR(__xludf.DUMMYFUNCTION("IMPORTRANGE(""https://docs.google.com/spreadsheets/d/1SX6NBoVAgQJ6U1MVXOaj8PK2l7WJ3RER9xtqwdhxkhw/edit?usp=sharing"",""สิงห์บุรี!I319"")"),19)</f>
        <v>19</v>
      </c>
      <c r="J424" s="394">
        <f ca="1">IFERROR(__xludf.DUMMYFUNCTION("IMPORTRANGE(""https://docs.google.com/spreadsheets/d/1SX6NBoVAgQJ6U1MVXOaj8PK2l7WJ3RER9xtqwdhxkhw/edit?usp=sharing"",""สิงห์บุรี!J319"")"),19)</f>
        <v>19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IFERROR(__xludf.DUMMYFUNCTION("IMPORTRANGE(""https://docs.google.com/spreadsheets/d/1SX6NBoVAgQJ6U1MVXOaj8PK2l7WJ3RER9xtqwdhxkhw/edit?usp=sharing"",""สิงห์บุรี!I320"")"),19)</f>
        <v>19</v>
      </c>
      <c r="J425" s="394">
        <f ca="1">IFERROR(__xludf.DUMMYFUNCTION("IMPORTRANGE(""https://docs.google.com/spreadsheets/d/1SX6NBoVAgQJ6U1MVXOaj8PK2l7WJ3RER9xtqwdhxkhw/edit?usp=sharing"",""สิงห์บุรี!J320"")"),19)</f>
        <v>19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IFERROR(__xludf.DUMMYFUNCTION("IMPORTRANGE(""https://docs.google.com/spreadsheets/d/1SX6NBoVAgQJ6U1MVXOaj8PK2l7WJ3RER9xtqwdhxkhw/edit?usp=sharing"",""สิงห์บุรี!I321"")"),10)</f>
        <v>10</v>
      </c>
      <c r="J426" s="392">
        <f ca="1">IFERROR(__xludf.DUMMYFUNCTION("IMPORTRANGE(""https://docs.google.com/spreadsheets/d/1SX6NBoVAgQJ6U1MVXOaj8PK2l7WJ3RER9xtqwdhxkhw/edit?usp=sharing"",""สิงห์บุรี!J321"")"),10)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IFERROR(__xludf.DUMMYFUNCTION("IMPORTRANGE(""https://docs.google.com/spreadsheets/d/1SX6NBoVAgQJ6U1MVXOaj8PK2l7WJ3RER9xtqwdhxkhw/edit?usp=sharing"",""สิงห์บุรี!I322"")"),30)</f>
        <v>30</v>
      </c>
      <c r="J427" s="393">
        <f ca="1">IFERROR(__xludf.DUMMYFUNCTION("IMPORTRANGE(""https://docs.google.com/spreadsheets/d/1SX6NBoVAgQJ6U1MVXOaj8PK2l7WJ3RER9xtqwdhxkhw/edit?usp=sharing"",""สิงห์บุรี!J322"")"),30)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IFERROR(__xludf.DUMMYFUNCTION("IMPORTRANGE(""https://docs.google.com/spreadsheets/d/1SX6NBoVAgQJ6U1MVXOaj8PK2l7WJ3RER9xtqwdhxkhw/edit?usp=sharing"",""สิงห์บุรี!I323"")"),10)</f>
        <v>10</v>
      </c>
      <c r="J428" s="394">
        <f ca="1">IFERROR(__xludf.DUMMYFUNCTION("IMPORTRANGE(""https://docs.google.com/spreadsheets/d/1SX6NBoVAgQJ6U1MVXOaj8PK2l7WJ3RER9xtqwdhxkhw/edit?usp=sharing"",""สิงห์บุรี!J323"")"),10)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IFERROR(__xludf.DUMMYFUNCTION("IMPORTRANGE(""https://docs.google.com/spreadsheets/d/1SX6NBoVAgQJ6U1MVXOaj8PK2l7WJ3RER9xtqwdhxkhw/edit?usp=sharing"",""สิงห์บุรี!I324"")"),10)</f>
        <v>10</v>
      </c>
      <c r="J429" s="394">
        <f ca="1">IFERROR(__xludf.DUMMYFUNCTION("IMPORTRANGE(""https://docs.google.com/spreadsheets/d/1SX6NBoVAgQJ6U1MVXOaj8PK2l7WJ3RER9xtqwdhxkhw/edit?usp=sharing"",""สิงห์บุรี!J324"")"),10)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IFERROR(__xludf.DUMMYFUNCTION("IMPORTRANGE(""https://docs.google.com/spreadsheets/d/1SX6NBoVAgQJ6U1MVXOaj8PK2l7WJ3RER9xtqwdhxkhw/edit?usp=sharing"",""สิงห์บุรี!I325"")"),19)</f>
        <v>19</v>
      </c>
      <c r="J430" s="392">
        <f ca="1">IFERROR(__xludf.DUMMYFUNCTION("IMPORTRANGE(""https://docs.google.com/spreadsheets/d/1SX6NBoVAgQJ6U1MVXOaj8PK2l7WJ3RER9xtqwdhxkhw/edit?usp=sharing"",""สิงห์บุรี!J325"")"),19)</f>
        <v>19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IFERROR(__xludf.DUMMYFUNCTION("IMPORTRANGE(""https://docs.google.com/spreadsheets/d/1SX6NBoVAgQJ6U1MVXOaj8PK2l7WJ3RER9xtqwdhxkhw/edit?usp=sharing"",""สิงห์บุรี!I326"")"),0)</f>
        <v>0</v>
      </c>
      <c r="J431" s="394">
        <f ca="1">IFERROR(__xludf.DUMMYFUNCTION("IMPORTRANGE(""https://docs.google.com/spreadsheets/d/1SX6NBoVAgQJ6U1MVXOaj8PK2l7WJ3RER9xtqwdhxkhw/edit?usp=sharing"",""สิงห์บุรี!J326"")"),0)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IFERROR(__xludf.DUMMYFUNCTION("IMPORTRANGE(""https://docs.google.com/spreadsheets/d/1SX6NBoVAgQJ6U1MVXOaj8PK2l7WJ3RER9xtqwdhxkhw/edit?usp=sharing"",""สิงห์บุรี!I327"")"),19)</f>
        <v>19</v>
      </c>
      <c r="J432" s="394">
        <f ca="1">IFERROR(__xludf.DUMMYFUNCTION("IMPORTRANGE(""https://docs.google.com/spreadsheets/d/1SX6NBoVAgQJ6U1MVXOaj8PK2l7WJ3RER9xtqwdhxkhw/edit?usp=sharing"",""สิงห์บุรี!J327"")"),19)</f>
        <v>19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IFERROR(__xludf.DUMMYFUNCTION("IMPORTRANGE(""https://docs.google.com/spreadsheets/d/1SX6NBoVAgQJ6U1MVXOaj8PK2l7WJ3RER9xtqwdhxkhw/edit?usp=sharing"",""สิงห์บุรี!J328"")"),0)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IFERROR(__xludf.DUMMYFUNCTION("IMPORTRANGE(""https://docs.google.com/spreadsheets/d/1SX6NBoVAgQJ6U1MVXOaj8PK2l7WJ3RER9xtqwdhxkhw/edit?usp=sharing"",""สิงห์บุรี!J329"")"),1)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IFERROR(__xludf.DUMMYFUNCTION("IMPORTRANGE(""https://docs.google.com/spreadsheets/d/1SX6NBoVAgQJ6U1MVXOaj8PK2l7WJ3RER9xtqwdhxkhw/edit?usp=sharing"",""สิงห์บุรี!I330"")"),10)</f>
        <v>10</v>
      </c>
      <c r="J435" s="410">
        <f ca="1">IFERROR(__xludf.DUMMYFUNCTION("IMPORTRANGE(""https://docs.google.com/spreadsheets/d/1SX6NBoVAgQJ6U1MVXOaj8PK2l7WJ3RER9xtqwdhxkhw/edit?usp=sharing"",""สิงห์บุรี!J330"")"),10)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IFERROR(__xludf.DUMMYFUNCTION("IMPORTRANGE(""https://docs.google.com/spreadsheets/d/1SX6NBoVAgQJ6U1MVXOaj8PK2l7WJ3RER9xtqwdhxkhw/edit?usp=sharing"",""สิงห์บุรี!L330"")"),76000)</f>
        <v>76000</v>
      </c>
      <c r="M435" s="412"/>
      <c r="N435" s="412">
        <f ca="1">IFERROR(__xludf.DUMMYFUNCTION("IMPORTRANGE(""https://docs.google.com/spreadsheets/d/1SX6NBoVAgQJ6U1MVXOaj8PK2l7WJ3RER9xtqwdhxkhw/edit?usp=sharing"",""สิงห์บุรี!M330"")"),76000)</f>
        <v>76000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IFERROR(__xludf.DUMMYFUNCTION("IMPORTRANGE(""https://docs.google.com/spreadsheets/d/1SX6NBoVAgQJ6U1MVXOaj8PK2l7WJ3RER9xtqwdhxkhw/edit?usp=sharing"",""สิงห์บุรี!L331"")"),0)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IFERROR(__xludf.DUMMYFUNCTION("IMPORTRANGE(""https://docs.google.com/spreadsheets/d/1SX6NBoVAgQJ6U1MVXOaj8PK2l7WJ3RER9xtqwdhxkhw/edit?usp=sharing"",""สิงห์บุรี!M331"")"),0)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IFERROR(__xludf.DUMMYFUNCTION("IMPORTRANGE(""https://docs.google.com/spreadsheets/d/1SX6NBoVAgQJ6U1MVXOaj8PK2l7WJ3RER9xtqwdhxkhw/edit?usp=sharing"",""สิงห์บุรี!L332"")"),76000)</f>
        <v>76000</v>
      </c>
      <c r="M437" s="165"/>
      <c r="N437" s="169">
        <f ca="1">IFERROR(__xludf.DUMMYFUNCTION("IMPORTRANGE(""https://docs.google.com/spreadsheets/d/1SX6NBoVAgQJ6U1MVXOaj8PK2l7WJ3RER9xtqwdhxkhw/edit?usp=sharing"",""สิงห์บุรี!M332"")"),76000)</f>
        <v>76000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IFERROR(__xludf.DUMMYFUNCTION("IMPORTRANGE(""https://docs.google.com/spreadsheets/d/1SX6NBoVAgQJ6U1MVXOaj8PK2l7WJ3RER9xtqwdhxkhw/edit?usp=sharing"",""สิงห์บุรี!L333"")"),0)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IFERROR(__xludf.DUMMYFUNCTION("IMPORTRANGE(""https://docs.google.com/spreadsheets/d/1SX6NBoVAgQJ6U1MVXOaj8PK2l7WJ3RER9xtqwdhxkhw/edit?usp=sharing"",""สิงห์บุรี!M333"")"),0)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IFERROR(__xludf.DUMMYFUNCTION("IMPORTRANGE(""https://docs.google.com/spreadsheets/d/1SX6NBoVAgQJ6U1MVXOaj8PK2l7WJ3RER9xtqwdhxkhw/edit?usp=sharing"",""สิงห์บุรี!L334"")"),76000)</f>
        <v>76000</v>
      </c>
      <c r="M439" s="169"/>
      <c r="N439" s="169">
        <f ca="1">IFERROR(__xludf.DUMMYFUNCTION("IMPORTRANGE(""https://docs.google.com/spreadsheets/d/1SX6NBoVAgQJ6U1MVXOaj8PK2l7WJ3RER9xtqwdhxkhw/edit?usp=sharing"",""สิงห์บุรี!M334"")"),76000)</f>
        <v>76000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IFERROR(__xludf.DUMMYFUNCTION("IMPORTRANGE(""https://docs.google.com/spreadsheets/d/1SX6NBoVAgQJ6U1MVXOaj8PK2l7WJ3RER9xtqwdhxkhw/edit?usp=sharing"",""สิงห์บุรี!M335"")"),20200)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IFERROR(__xludf.DUMMYFUNCTION("IMPORTRANGE(""https://docs.google.com/spreadsheets/d/1SX6NBoVAgQJ6U1MVXOaj8PK2l7WJ3RER9xtqwdhxkhw/edit?usp=sharing"",""สิงห์บุรี!M336"")"),0)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IFERROR(__xludf.DUMMYFUNCTION("IMPORTRANGE(""https://docs.google.com/spreadsheets/d/1SX6NBoVAgQJ6U1MVXOaj8PK2l7WJ3RER9xtqwdhxkhw/edit?usp=sharing"",""สิงห์บุรี!M337"")"),0)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IFERROR(__xludf.DUMMYFUNCTION("IMPORTRANGE(""https://docs.google.com/spreadsheets/d/1SX6NBoVAgQJ6U1MVXOaj8PK2l7WJ3RER9xtqwdhxkhw/edit?usp=sharing"",""สิงห์บุรี!M338"")"),55800)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IFERROR(__xludf.DUMMYFUNCTION("IMPORTRANGE(""https://docs.google.com/spreadsheets/d/1SX6NBoVAgQJ6U1MVXOaj8PK2l7WJ3RER9xtqwdhxkhw/edit?usp=sharing"",""สิงห์บุรี!J340"")"),0)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IFERROR(__xludf.DUMMYFUNCTION("IMPORTRANGE(""https://docs.google.com/spreadsheets/d/1SX6NBoVAgQJ6U1MVXOaj8PK2l7WJ3RER9xtqwdhxkhw/edit?usp=sharing"",""สิงห์บุรี!J341"")"),1)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IFERROR(__xludf.DUMMYFUNCTION("IMPORTRANGE(""https://docs.google.com/spreadsheets/d/1SX6NBoVAgQJ6U1MVXOaj8PK2l7WJ3RER9xtqwdhxkhw/edit?usp=sharing"",""สิงห์บุรี!J342"")"),1)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IFERROR(__xludf.DUMMYFUNCTION("IMPORTRANGE(""https://docs.google.com/spreadsheets/d/1SX6NBoVAgQJ6U1MVXOaj8PK2l7WJ3RER9xtqwdhxkhw/edit?usp=sharing"",""สิงห์บุรี!J343"")"),1)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IFERROR(__xludf.DUMMYFUNCTION("IMPORTRANGE(""https://docs.google.com/spreadsheets/d/1SX6NBoVAgQJ6U1MVXOaj8PK2l7WJ3RER9xtqwdhxkhw/edit?usp=sharing"",""สิงห์บุรี!I344"")"),10)</f>
        <v>10</v>
      </c>
      <c r="J449" s="201">
        <f ca="1">IFERROR(__xludf.DUMMYFUNCTION("IMPORTRANGE(""https://docs.google.com/spreadsheets/d/1SX6NBoVAgQJ6U1MVXOaj8PK2l7WJ3RER9xtqwdhxkhw/edit?usp=sharing"",""สิงห์บุรี!J344"")"),10)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IFERROR(__xludf.DUMMYFUNCTION("IMPORTRANGE(""https://docs.google.com/spreadsheets/d/1SX6NBoVAgQJ6U1MVXOaj8PK2l7WJ3RER9xtqwdhxkhw/edit?usp=sharing"",""สิงห์บุรี!I345"")"),10)</f>
        <v>10</v>
      </c>
      <c r="J450" s="189">
        <f ca="1">IFERROR(__xludf.DUMMYFUNCTION("IMPORTRANGE(""https://docs.google.com/spreadsheets/d/1SX6NBoVAgQJ6U1MVXOaj8PK2l7WJ3RER9xtqwdhxkhw/edit?usp=sharing"",""สิงห์บุรี!J345"")"),10)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IFERROR(__xludf.DUMMYFUNCTION("IMPORTRANGE(""https://docs.google.com/spreadsheets/d/1SX6NBoVAgQJ6U1MVXOaj8PK2l7WJ3RER9xtqwdhxkhw/edit?usp=sharing"",""สิงห์บุรี!I346"")"),0)</f>
        <v>0</v>
      </c>
      <c r="J451" s="188">
        <f ca="1">IFERROR(__xludf.DUMMYFUNCTION("IMPORTRANGE(""https://docs.google.com/spreadsheets/d/1SX6NBoVAgQJ6U1MVXOaj8PK2l7WJ3RER9xtqwdhxkhw/edit?usp=sharing"",""สิงห์บุรี!J346"")"),0)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IFERROR(__xludf.DUMMYFUNCTION("IMPORTRANGE(""https://docs.google.com/spreadsheets/d/1SX6NBoVAgQJ6U1MVXOaj8PK2l7WJ3RER9xtqwdhxkhw/edit?usp=sharing"",""สิงห์บุรี!I347"")"),0)</f>
        <v>0</v>
      </c>
      <c r="J452" s="188">
        <f ca="1">IFERROR(__xludf.DUMMYFUNCTION("IMPORTRANGE(""https://docs.google.com/spreadsheets/d/1SX6NBoVAgQJ6U1MVXOaj8PK2l7WJ3RER9xtqwdhxkhw/edit?usp=sharing"",""สิงห์บุรี!J347"")"),0)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IFERROR(__xludf.DUMMYFUNCTION("IMPORTRANGE(""https://docs.google.com/spreadsheets/d/1SX6NBoVAgQJ6U1MVXOaj8PK2l7WJ3RER9xtqwdhxkhw/edit?usp=sharing"",""สิงห์บุรี!J348"")"),0)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IFERROR(__xludf.DUMMYFUNCTION("IMPORTRANGE(""https://docs.google.com/spreadsheets/d/1SX6NBoVAgQJ6U1MVXOaj8PK2l7WJ3RER9xtqwdhxkhw/edit?usp=sharing"",""สิงห์บุรี!J349"")"),1)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IFERROR(__xludf.DUMMYFUNCTION("IMPORTRANGE(""https://docs.google.com/spreadsheets/d/1SX6NBoVAgQJ6U1MVXOaj8PK2l7WJ3RER9xtqwdhxkhw/edit?usp=sharing"",""สิงห์บุรี!I350"")"),0)</f>
        <v>0</v>
      </c>
      <c r="J455" s="371">
        <f ca="1">IFERROR(__xludf.DUMMYFUNCTION("IMPORTRANGE(""https://docs.google.com/spreadsheets/d/1SX6NBoVAgQJ6U1MVXOaj8PK2l7WJ3RER9xtqwdhxkhw/edit?usp=sharing"",""สิงห์บุรี!J350"")"),0)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IFERROR(__xludf.DUMMYFUNCTION("IMPORTRANGE(""https://docs.google.com/spreadsheets/d/1SX6NBoVAgQJ6U1MVXOaj8PK2l7WJ3RER9xtqwdhxkhw/edit?usp=sharing"",""สิงห์บุรี!L350"")"),0)</f>
        <v>0</v>
      </c>
      <c r="M455" s="373"/>
      <c r="N455" s="373">
        <f ca="1">IFERROR(__xludf.DUMMYFUNCTION("IMPORTRANGE(""https://docs.google.com/spreadsheets/d/1SX6NBoVAgQJ6U1MVXOaj8PK2l7WJ3RER9xtqwdhxkhw/edit?usp=sharing"",""สิงห์บุรี!M350"")"),0)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IFERROR(__xludf.DUMMYFUNCTION("IMPORTRANGE(""https://docs.google.com/spreadsheets/d/1SX6NBoVAgQJ6U1MVXOaj8PK2l7WJ3RER9xtqwdhxkhw/edit?usp=sharing"",""สิงห์บุรี!L351"")"),0)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IFERROR(__xludf.DUMMYFUNCTION("IMPORTRANGE(""https://docs.google.com/spreadsheets/d/1SX6NBoVAgQJ6U1MVXOaj8PK2l7WJ3RER9xtqwdhxkhw/edit?usp=sharing"",""สิงห์บุรี!M351"")"),0)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IFERROR(__xludf.DUMMYFUNCTION("IMPORTRANGE(""https://docs.google.com/spreadsheets/d/1SX6NBoVAgQJ6U1MVXOaj8PK2l7WJ3RER9xtqwdhxkhw/edit?usp=sharing"",""สิงห์บุรี!L352"")"),0)</f>
        <v>0</v>
      </c>
      <c r="M457" s="165"/>
      <c r="N457" s="169">
        <f ca="1">IFERROR(__xludf.DUMMYFUNCTION("IMPORTRANGE(""https://docs.google.com/spreadsheets/d/1SX6NBoVAgQJ6U1MVXOaj8PK2l7WJ3RER9xtqwdhxkhw/edit?usp=sharing"",""สิงห์บุรี!M352"")"),0)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IFERROR(__xludf.DUMMYFUNCTION("IMPORTRANGE(""https://docs.google.com/spreadsheets/d/1SX6NBoVAgQJ6U1MVXOaj8PK2l7WJ3RER9xtqwdhxkhw/edit?usp=sharing"",""สิงห์บุรี!L353"")"),0)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IFERROR(__xludf.DUMMYFUNCTION("IMPORTRANGE(""https://docs.google.com/spreadsheets/d/1SX6NBoVAgQJ6U1MVXOaj8PK2l7WJ3RER9xtqwdhxkhw/edit?usp=sharing"",""สิงห์บุรี!M353"")"),0)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IFERROR(__xludf.DUMMYFUNCTION("IMPORTRANGE(""https://docs.google.com/spreadsheets/d/1SX6NBoVAgQJ6U1MVXOaj8PK2l7WJ3RER9xtqwdhxkhw/edit?usp=sharing"",""สิงห์บุรี!L354"")"),0)</f>
        <v>0</v>
      </c>
      <c r="M459" s="169"/>
      <c r="N459" s="169">
        <f ca="1">IFERROR(__xludf.DUMMYFUNCTION("IMPORTRANGE(""https://docs.google.com/spreadsheets/d/1SX6NBoVAgQJ6U1MVXOaj8PK2l7WJ3RER9xtqwdhxkhw/edit?usp=sharing"",""สิงห์บุรี!M354"")"),0)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IFERROR(__xludf.DUMMYFUNCTION("IMPORTRANGE(""https://docs.google.com/spreadsheets/d/1SX6NBoVAgQJ6U1MVXOaj8PK2l7WJ3RER9xtqwdhxkhw/edit?usp=sharing"",""สิงห์บุรี!M355"")"),0)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IFERROR(__xludf.DUMMYFUNCTION("IMPORTRANGE(""https://docs.google.com/spreadsheets/d/1SX6NBoVAgQJ6U1MVXOaj8PK2l7WJ3RER9xtqwdhxkhw/edit?usp=sharing"",""สิงห์บุรี!M356"")"),0)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IFERROR(__xludf.DUMMYFUNCTION("IMPORTRANGE(""https://docs.google.com/spreadsheets/d/1SX6NBoVAgQJ6U1MVXOaj8PK2l7WJ3RER9xtqwdhxkhw/edit?usp=sharing"",""สิงห์บุรี!M357"")"),0)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IFERROR(__xludf.DUMMYFUNCTION("IMPORTRANGE(""https://docs.google.com/spreadsheets/d/1SX6NBoVAgQJ6U1MVXOaj8PK2l7WJ3RER9xtqwdhxkhw/edit?usp=sharing"",""สิงห์บุรี!M358"")"),0)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IFERROR(__xludf.DUMMYFUNCTION("IMPORTRANGE(""https://docs.google.com/spreadsheets/d/1SX6NBoVAgQJ6U1MVXOaj8PK2l7WJ3RER9xtqwdhxkhw/edit?usp=sharing"",""สิงห์บุรี!I359"")"),0)</f>
        <v>0</v>
      </c>
      <c r="J464" s="268">
        <f ca="1">IFERROR(__xludf.DUMMYFUNCTION("IMPORTRANGE(""https://docs.google.com/spreadsheets/d/1SX6NBoVAgQJ6U1MVXOaj8PK2l7WJ3RER9xtqwdhxkhw/edit?usp=sharing"",""สิงห์บุรี!J359"")"),0)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IFERROR(__xludf.DUMMYFUNCTION("IMPORTRANGE(""https://docs.google.com/spreadsheets/d/1SX6NBoVAgQJ6U1MVXOaj8PK2l7WJ3RER9xtqwdhxkhw/edit?usp=sharing"",""สิงห์บุรี!I360"")"),0)</f>
        <v>0</v>
      </c>
      <c r="J465" s="420">
        <f ca="1">IFERROR(__xludf.DUMMYFUNCTION("IMPORTRANGE(""https://docs.google.com/spreadsheets/d/1SX6NBoVAgQJ6U1MVXOaj8PK2l7WJ3RER9xtqwdhxkhw/edit?usp=sharing"",""สิงห์บุรี!J360"")"),0)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IFERROR(__xludf.DUMMYFUNCTION("IMPORTRANGE(""https://docs.google.com/spreadsheets/d/1SX6NBoVAgQJ6U1MVXOaj8PK2l7WJ3RER9xtqwdhxkhw/edit?usp=sharing"",""สิงห์บุรี!I361"")"),0)</f>
        <v>0</v>
      </c>
      <c r="J466" s="420">
        <f ca="1">IFERROR(__xludf.DUMMYFUNCTION("IMPORTRANGE(""https://docs.google.com/spreadsheets/d/1SX6NBoVAgQJ6U1MVXOaj8PK2l7WJ3RER9xtqwdhxkhw/edit?usp=sharing"",""สิงห์บุรี!J361"")"),0)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IFERROR(__xludf.DUMMYFUNCTION("IMPORTRANGE(""https://docs.google.com/spreadsheets/d/1SX6NBoVAgQJ6U1MVXOaj8PK2l7WJ3RER9xtqwdhxkhw/edit?usp=sharing"",""สิงห์บุรี!I362"")"),0)</f>
        <v>0</v>
      </c>
      <c r="J467" s="189">
        <f ca="1">IFERROR(__xludf.DUMMYFUNCTION("IMPORTRANGE(""https://docs.google.com/spreadsheets/d/1SX6NBoVAgQJ6U1MVXOaj8PK2l7WJ3RER9xtqwdhxkhw/edit?usp=sharing"",""สิงห์บุรี!J362"")"),0)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IFERROR(__xludf.DUMMYFUNCTION("IMPORTRANGE(""https://docs.google.com/spreadsheets/d/1SX6NBoVAgQJ6U1MVXOaj8PK2l7WJ3RER9xtqwdhxkhw/edit?usp=sharing"",""สิงห์บุรี!I363"")"),0)</f>
        <v>0</v>
      </c>
      <c r="J468" s="189">
        <f ca="1">IFERROR(__xludf.DUMMYFUNCTION("IMPORTRANGE(""https://docs.google.com/spreadsheets/d/1SX6NBoVAgQJ6U1MVXOaj8PK2l7WJ3RER9xtqwdhxkhw/edit?usp=sharing"",""สิงห์บุรี!J363"")"),0)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IFERROR(__xludf.DUMMYFUNCTION("IMPORTRANGE(""https://docs.google.com/spreadsheets/d/1SX6NBoVAgQJ6U1MVXOaj8PK2l7WJ3RER9xtqwdhxkhw/edit?usp=sharing"",""สิงห์บุรี!I364"")"),0)</f>
        <v>0</v>
      </c>
      <c r="J469" s="189">
        <f ca="1">IFERROR(__xludf.DUMMYFUNCTION("IMPORTRANGE(""https://docs.google.com/spreadsheets/d/1SX6NBoVAgQJ6U1MVXOaj8PK2l7WJ3RER9xtqwdhxkhw/edit?usp=sharing"",""สิงห์บุรี!J364"")"),0)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IFERROR(__xludf.DUMMYFUNCTION("IMPORTRANGE(""https://docs.google.com/spreadsheets/d/1SX6NBoVAgQJ6U1MVXOaj8PK2l7WJ3RER9xtqwdhxkhw/edit?usp=sharing"",""สิงห์บุรี!I365"")"),0)</f>
        <v>0</v>
      </c>
      <c r="J470" s="189">
        <f ca="1">IFERROR(__xludf.DUMMYFUNCTION("IMPORTRANGE(""https://docs.google.com/spreadsheets/d/1SX6NBoVAgQJ6U1MVXOaj8PK2l7WJ3RER9xtqwdhxkhw/edit?usp=sharing"",""สิงห์บุรี!J365"")"),0)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IFERROR(__xludf.DUMMYFUNCTION("IMPORTRANGE(""https://docs.google.com/spreadsheets/d/1SX6NBoVAgQJ6U1MVXOaj8PK2l7WJ3RER9xtqwdhxkhw/edit?usp=sharing"",""สิงห์บุรี!I366"")"),0)</f>
        <v>0</v>
      </c>
      <c r="J471" s="189">
        <f ca="1">IFERROR(__xludf.DUMMYFUNCTION("IMPORTRANGE(""https://docs.google.com/spreadsheets/d/1SX6NBoVAgQJ6U1MVXOaj8PK2l7WJ3RER9xtqwdhxkhw/edit?usp=sharing"",""สิงห์บุรี!J366"")"),0)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IFERROR(__xludf.DUMMYFUNCTION("IMPORTRANGE(""https://docs.google.com/spreadsheets/d/1SX6NBoVAgQJ6U1MVXOaj8PK2l7WJ3RER9xtqwdhxkhw/edit?usp=sharing"",""สิงห์บุรี!I367"")"),0)</f>
        <v>0</v>
      </c>
      <c r="J472" s="189">
        <f ca="1">IFERROR(__xludf.DUMMYFUNCTION("IMPORTRANGE(""https://docs.google.com/spreadsheets/d/1SX6NBoVAgQJ6U1MVXOaj8PK2l7WJ3RER9xtqwdhxkhw/edit?usp=sharing"",""สิงห์บุรี!J367"")"),0)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IFERROR(__xludf.DUMMYFUNCTION("IMPORTRANGE(""https://docs.google.com/spreadsheets/d/1SX6NBoVAgQJ6U1MVXOaj8PK2l7WJ3RER9xtqwdhxkhw/edit?usp=sharing"",""สิงห์บุรี!I368"")"),0)</f>
        <v>0</v>
      </c>
      <c r="J473" s="420">
        <f ca="1">IFERROR(__xludf.DUMMYFUNCTION("IMPORTRANGE(""https://docs.google.com/spreadsheets/d/1SX6NBoVAgQJ6U1MVXOaj8PK2l7WJ3RER9xtqwdhxkhw/edit?usp=sharing"",""สิงห์บุรี!J368"")"),0)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IFERROR(__xludf.DUMMYFUNCTION("IMPORTRANGE(""https://docs.google.com/spreadsheets/d/1SX6NBoVAgQJ6U1MVXOaj8PK2l7WJ3RER9xtqwdhxkhw/edit?usp=sharing"",""สิงห์บุรี!I369"")"),0)</f>
        <v>0</v>
      </c>
      <c r="J474" s="420">
        <f ca="1">IFERROR(__xludf.DUMMYFUNCTION("IMPORTRANGE(""https://docs.google.com/spreadsheets/d/1SX6NBoVAgQJ6U1MVXOaj8PK2l7WJ3RER9xtqwdhxkhw/edit?usp=sharing"",""สิงห์บุรี!J369"")"),0)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IFERROR(__xludf.DUMMYFUNCTION("IMPORTRANGE(""https://docs.google.com/spreadsheets/d/1SX6NBoVAgQJ6U1MVXOaj8PK2l7WJ3RER9xtqwdhxkhw/edit?usp=sharing"",""สิงห์บุรี!I370"")"),0)</f>
        <v>0</v>
      </c>
      <c r="J475" s="189">
        <f ca="1">IFERROR(__xludf.DUMMYFUNCTION("IMPORTRANGE(""https://docs.google.com/spreadsheets/d/1SX6NBoVAgQJ6U1MVXOaj8PK2l7WJ3RER9xtqwdhxkhw/edit?usp=sharing"",""สิงห์บุรี!J370"")"),0)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IFERROR(__xludf.DUMMYFUNCTION("IMPORTRANGE(""https://docs.google.com/spreadsheets/d/1SX6NBoVAgQJ6U1MVXOaj8PK2l7WJ3RER9xtqwdhxkhw/edit?usp=sharing"",""สิงห์บุรี!I371"")"),0)</f>
        <v>0</v>
      </c>
      <c r="J476" s="189">
        <f ca="1">IFERROR(__xludf.DUMMYFUNCTION("IMPORTRANGE(""https://docs.google.com/spreadsheets/d/1SX6NBoVAgQJ6U1MVXOaj8PK2l7WJ3RER9xtqwdhxkhw/edit?usp=sharing"",""สิงห์บุรี!J371"")"),0)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IFERROR(__xludf.DUMMYFUNCTION("IMPORTRANGE(""https://docs.google.com/spreadsheets/d/1SX6NBoVAgQJ6U1MVXOaj8PK2l7WJ3RER9xtqwdhxkhw/edit?usp=sharing"",""สิงห์บุรี!I372"")"),0)</f>
        <v>0</v>
      </c>
      <c r="J477" s="189">
        <f ca="1">IFERROR(__xludf.DUMMYFUNCTION("IMPORTRANGE(""https://docs.google.com/spreadsheets/d/1SX6NBoVAgQJ6U1MVXOaj8PK2l7WJ3RER9xtqwdhxkhw/edit?usp=sharing"",""สิงห์บุรี!J372"")"),0)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IFERROR(__xludf.DUMMYFUNCTION("IMPORTRANGE(""https://docs.google.com/spreadsheets/d/1SX6NBoVAgQJ6U1MVXOaj8PK2l7WJ3RER9xtqwdhxkhw/edit?usp=sharing"",""สิงห์บุรี!I373"")"),0)</f>
        <v>0</v>
      </c>
      <c r="J478" s="189">
        <f ca="1">IFERROR(__xludf.DUMMYFUNCTION("IMPORTRANGE(""https://docs.google.com/spreadsheets/d/1SX6NBoVAgQJ6U1MVXOaj8PK2l7WJ3RER9xtqwdhxkhw/edit?usp=sharing"",""สิงห์บุรี!J373"")"),0)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IFERROR(__xludf.DUMMYFUNCTION("IMPORTRANGE(""https://docs.google.com/spreadsheets/d/1SX6NBoVAgQJ6U1MVXOaj8PK2l7WJ3RER9xtqwdhxkhw/edit?usp=sharing"",""สิงห์บุรี!I374"")"),0)</f>
        <v>0</v>
      </c>
      <c r="J479" s="189">
        <f ca="1">IFERROR(__xludf.DUMMYFUNCTION("IMPORTRANGE(""https://docs.google.com/spreadsheets/d/1SX6NBoVAgQJ6U1MVXOaj8PK2l7WJ3RER9xtqwdhxkhw/edit?usp=sharing"",""สิงห์บุรี!J374"")"),0)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IFERROR(__xludf.DUMMYFUNCTION("IMPORTRANGE(""https://docs.google.com/spreadsheets/d/1SX6NBoVAgQJ6U1MVXOaj8PK2l7WJ3RER9xtqwdhxkhw/edit?usp=sharing"",""สิงห์บุรี!I375"")"),0)</f>
        <v>0</v>
      </c>
      <c r="J480" s="189">
        <f ca="1">IFERROR(__xludf.DUMMYFUNCTION("IMPORTRANGE(""https://docs.google.com/spreadsheets/d/1SX6NBoVAgQJ6U1MVXOaj8PK2l7WJ3RER9xtqwdhxkhw/edit?usp=sharing"",""สิงห์บุรี!J375"")"),0)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IFERROR(__xludf.DUMMYFUNCTION("IMPORTRANGE(""https://docs.google.com/spreadsheets/d/1SX6NBoVAgQJ6U1MVXOaj8PK2l7WJ3RER9xtqwdhxkhw/edit?usp=sharing"",""สิงห์บุรี!I376"")"),0)</f>
        <v>0</v>
      </c>
      <c r="J481" s="420">
        <f ca="1">IFERROR(__xludf.DUMMYFUNCTION("IMPORTRANGE(""https://docs.google.com/spreadsheets/d/1SX6NBoVAgQJ6U1MVXOaj8PK2l7WJ3RER9xtqwdhxkhw/edit?usp=sharing"",""สิงห์บุรี!J376"")"),0)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IFERROR(__xludf.DUMMYFUNCTION("IMPORTRANGE(""https://docs.google.com/spreadsheets/d/1SX6NBoVAgQJ6U1MVXOaj8PK2l7WJ3RER9xtqwdhxkhw/edit?usp=sharing"",""สิงห์บุรี!I377"")"),0)</f>
        <v>0</v>
      </c>
      <c r="J482" s="420">
        <f ca="1">IFERROR(__xludf.DUMMYFUNCTION("IMPORTRANGE(""https://docs.google.com/spreadsheets/d/1SX6NBoVAgQJ6U1MVXOaj8PK2l7WJ3RER9xtqwdhxkhw/edit?usp=sharing"",""สิงห์บุรี!J377"")"),0)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IFERROR(__xludf.DUMMYFUNCTION("IMPORTRANGE(""https://docs.google.com/spreadsheets/d/1SX6NBoVAgQJ6U1MVXOaj8PK2l7WJ3RER9xtqwdhxkhw/edit?usp=sharing"",""สิงห์บุรี!I378"")"),0)</f>
        <v>0</v>
      </c>
      <c r="J483" s="189">
        <f ca="1">IFERROR(__xludf.DUMMYFUNCTION("IMPORTRANGE(""https://docs.google.com/spreadsheets/d/1SX6NBoVAgQJ6U1MVXOaj8PK2l7WJ3RER9xtqwdhxkhw/edit?usp=sharing"",""สิงห์บุรี!J378"")"),0)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IFERROR(__xludf.DUMMYFUNCTION("IMPORTRANGE(""https://docs.google.com/spreadsheets/d/1SX6NBoVAgQJ6U1MVXOaj8PK2l7WJ3RER9xtqwdhxkhw/edit?usp=sharing"",""สิงห์บุรี!I379"")"),0)</f>
        <v>0</v>
      </c>
      <c r="J484" s="189">
        <f ca="1">IFERROR(__xludf.DUMMYFUNCTION("IMPORTRANGE(""https://docs.google.com/spreadsheets/d/1SX6NBoVAgQJ6U1MVXOaj8PK2l7WJ3RER9xtqwdhxkhw/edit?usp=sharing"",""สิงห์บุรี!J379"")"),0)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IFERROR(__xludf.DUMMYFUNCTION("IMPORTRANGE(""https://docs.google.com/spreadsheets/d/1SX6NBoVAgQJ6U1MVXOaj8PK2l7WJ3RER9xtqwdhxkhw/edit?usp=sharing"",""สิงห์บุรี!I380"")"),0)</f>
        <v>0</v>
      </c>
      <c r="J485" s="189">
        <f ca="1">IFERROR(__xludf.DUMMYFUNCTION("IMPORTRANGE(""https://docs.google.com/spreadsheets/d/1SX6NBoVAgQJ6U1MVXOaj8PK2l7WJ3RER9xtqwdhxkhw/edit?usp=sharing"",""สิงห์บุรี!J380"")"),0)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IFERROR(__xludf.DUMMYFUNCTION("IMPORTRANGE(""https://docs.google.com/spreadsheets/d/1SX6NBoVAgQJ6U1MVXOaj8PK2l7WJ3RER9xtqwdhxkhw/edit?usp=sharing"",""สิงห์บุรี!I381"")"),0)</f>
        <v>0</v>
      </c>
      <c r="J486" s="189">
        <f ca="1">IFERROR(__xludf.DUMMYFUNCTION("IMPORTRANGE(""https://docs.google.com/spreadsheets/d/1SX6NBoVAgQJ6U1MVXOaj8PK2l7WJ3RER9xtqwdhxkhw/edit?usp=sharing"",""สิงห์บุรี!J381"")"),0)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IFERROR(__xludf.DUMMYFUNCTION("IMPORTRANGE(""https://docs.google.com/spreadsheets/d/1SX6NBoVAgQJ6U1MVXOaj8PK2l7WJ3RER9xtqwdhxkhw/edit?usp=sharing"",""สิงห์บุรี!I382"")"),0)</f>
        <v>0</v>
      </c>
      <c r="J487" s="420">
        <f ca="1">IFERROR(__xludf.DUMMYFUNCTION("IMPORTRANGE(""https://docs.google.com/spreadsheets/d/1SX6NBoVAgQJ6U1MVXOaj8PK2l7WJ3RER9xtqwdhxkhw/edit?usp=sharing"",""สิงห์บุรี!J382"")"),0)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IFERROR(__xludf.DUMMYFUNCTION("IMPORTRANGE(""https://docs.google.com/spreadsheets/d/1SX6NBoVAgQJ6U1MVXOaj8PK2l7WJ3RER9xtqwdhxkhw/edit?usp=sharing"",""สิงห์บุรี!I383"")"),0)</f>
        <v>0</v>
      </c>
      <c r="J488" s="420">
        <f ca="1">IFERROR(__xludf.DUMMYFUNCTION("IMPORTRANGE(""https://docs.google.com/spreadsheets/d/1SX6NBoVAgQJ6U1MVXOaj8PK2l7WJ3RER9xtqwdhxkhw/edit?usp=sharing"",""สิงห์บุรี!J383"")"),0)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IFERROR(__xludf.DUMMYFUNCTION("IMPORTRANGE(""https://docs.google.com/spreadsheets/d/1SX6NBoVAgQJ6U1MVXOaj8PK2l7WJ3RER9xtqwdhxkhw/edit?usp=sharing"",""สิงห์บุรี!I384"")"),0)</f>
        <v>0</v>
      </c>
      <c r="J489" s="189">
        <f ca="1">IFERROR(__xludf.DUMMYFUNCTION("IMPORTRANGE(""https://docs.google.com/spreadsheets/d/1SX6NBoVAgQJ6U1MVXOaj8PK2l7WJ3RER9xtqwdhxkhw/edit?usp=sharing"",""สิงห์บุรี!J384"")"),0)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IFERROR(__xludf.DUMMYFUNCTION("IMPORTRANGE(""https://docs.google.com/spreadsheets/d/1SX6NBoVAgQJ6U1MVXOaj8PK2l7WJ3RER9xtqwdhxkhw/edit?usp=sharing"",""สิงห์บุรี!I385"")"),0)</f>
        <v>0</v>
      </c>
      <c r="J490" s="189">
        <f ca="1">IFERROR(__xludf.DUMMYFUNCTION("IMPORTRANGE(""https://docs.google.com/spreadsheets/d/1SX6NBoVAgQJ6U1MVXOaj8PK2l7WJ3RER9xtqwdhxkhw/edit?usp=sharing"",""สิงห์บุรี!J385"")"),0)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IFERROR(__xludf.DUMMYFUNCTION("IMPORTRANGE(""https://docs.google.com/spreadsheets/d/1SX6NBoVAgQJ6U1MVXOaj8PK2l7WJ3RER9xtqwdhxkhw/edit?usp=sharing"",""สิงห์บุรี!I386"")"),0)</f>
        <v>0</v>
      </c>
      <c r="J491" s="189">
        <f ca="1">IFERROR(__xludf.DUMMYFUNCTION("IMPORTRANGE(""https://docs.google.com/spreadsheets/d/1SX6NBoVAgQJ6U1MVXOaj8PK2l7WJ3RER9xtqwdhxkhw/edit?usp=sharing"",""สิงห์บุรี!J386"")"),0)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IFERROR(__xludf.DUMMYFUNCTION("IMPORTRANGE(""https://docs.google.com/spreadsheets/d/1SX6NBoVAgQJ6U1MVXOaj8PK2l7WJ3RER9xtqwdhxkhw/edit?usp=sharing"",""สิงห์บุรี!I387"")"),0)</f>
        <v>0</v>
      </c>
      <c r="J492" s="189">
        <f ca="1">IFERROR(__xludf.DUMMYFUNCTION("IMPORTRANGE(""https://docs.google.com/spreadsheets/d/1SX6NBoVAgQJ6U1MVXOaj8PK2l7WJ3RER9xtqwdhxkhw/edit?usp=sharing"",""สิงห์บุรี!J387"")"),0)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IFERROR(__xludf.DUMMYFUNCTION("IMPORTRANGE(""https://docs.google.com/spreadsheets/d/1SX6NBoVAgQJ6U1MVXOaj8PK2l7WJ3RER9xtqwdhxkhw/edit?usp=sharing"",""สิงห์บุรี!I388"")"),0)</f>
        <v>0</v>
      </c>
      <c r="J493" s="189">
        <f ca="1">IFERROR(__xludf.DUMMYFUNCTION("IMPORTRANGE(""https://docs.google.com/spreadsheets/d/1SX6NBoVAgQJ6U1MVXOaj8PK2l7WJ3RER9xtqwdhxkhw/edit?usp=sharing"",""สิงห์บุรี!J388"")"),0)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IFERROR(__xludf.DUMMYFUNCTION("IMPORTRANGE(""https://docs.google.com/spreadsheets/d/1SX6NBoVAgQJ6U1MVXOaj8PK2l7WJ3RER9xtqwdhxkhw/edit?usp=sharing"",""สิงห์บุรี!I389"")"),0)</f>
        <v>0</v>
      </c>
      <c r="J494" s="436">
        <f ca="1">IFERROR(__xludf.DUMMYFUNCTION("IMPORTRANGE(""https://docs.google.com/spreadsheets/d/1SX6NBoVAgQJ6U1MVXOaj8PK2l7WJ3RER9xtqwdhxkhw/edit?usp=sharing"",""สิงห์บุรี!J389"")"),0)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IFERROR(__xludf.DUMMYFUNCTION("IMPORTRANGE(""https://docs.google.com/spreadsheets/d/1SX6NBoVAgQJ6U1MVXOaj8PK2l7WJ3RER9xtqwdhxkhw/edit?usp=sharing"",""สิงห์บุรี!I390"")"),0)</f>
        <v>0</v>
      </c>
      <c r="J495" s="436">
        <f ca="1">IFERROR(__xludf.DUMMYFUNCTION("IMPORTRANGE(""https://docs.google.com/spreadsheets/d/1SX6NBoVAgQJ6U1MVXOaj8PK2l7WJ3RER9xtqwdhxkhw/edit?usp=sharing"",""สิงห์บุรี!J390"")"),0)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IFERROR(__xludf.DUMMYFUNCTION("IMPORTRANGE(""https://docs.google.com/spreadsheets/d/1SX6NBoVAgQJ6U1MVXOaj8PK2l7WJ3RER9xtqwdhxkhw/edit?usp=sharing"",""สิงห์บุรี!I391"")"),0)</f>
        <v>0</v>
      </c>
      <c r="J496" s="436">
        <f ca="1">IFERROR(__xludf.DUMMYFUNCTION("IMPORTRANGE(""https://docs.google.com/spreadsheets/d/1SX6NBoVAgQJ6U1MVXOaj8PK2l7WJ3RER9xtqwdhxkhw/edit?usp=sharing"",""สิงห์บุรี!J391"")"),0)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IFERROR(__xludf.DUMMYFUNCTION("IMPORTRANGE(""https://docs.google.com/spreadsheets/d/1SX6NBoVAgQJ6U1MVXOaj8PK2l7WJ3RER9xtqwdhxkhw/edit?usp=sharing"",""สิงห์บุรี!I392"")"),0)</f>
        <v>0</v>
      </c>
      <c r="J497" s="443">
        <f ca="1">IFERROR(__xludf.DUMMYFUNCTION("IMPORTRANGE(""https://docs.google.com/spreadsheets/d/1SX6NBoVAgQJ6U1MVXOaj8PK2l7WJ3RER9xtqwdhxkhw/edit?usp=sharing"",""สิงห์บุรี!J392"")"),0)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IFERROR(__xludf.DUMMYFUNCTION("IMPORTRANGE(""https://docs.google.com/spreadsheets/d/1SX6NBoVAgQJ6U1MVXOaj8PK2l7WJ3RER9xtqwdhxkhw/edit?usp=sharing"",""สิงห์บุรี!I393"")"),0)</f>
        <v>0</v>
      </c>
      <c r="J498" s="420">
        <f ca="1">IFERROR(__xludf.DUMMYFUNCTION("IMPORTRANGE(""https://docs.google.com/spreadsheets/d/1SX6NBoVAgQJ6U1MVXOaj8PK2l7WJ3RER9xtqwdhxkhw/edit?usp=sharing"",""สิงห์บุรี!J393"")"),0)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IFERROR(__xludf.DUMMYFUNCTION("IMPORTRANGE(""https://docs.google.com/spreadsheets/d/1SX6NBoVAgQJ6U1MVXOaj8PK2l7WJ3RER9xtqwdhxkhw/edit?usp=sharing"",""สิงห์บุรี!I394"")"),0)</f>
        <v>0</v>
      </c>
      <c r="J499" s="420">
        <f ca="1">IFERROR(__xludf.DUMMYFUNCTION("IMPORTRANGE(""https://docs.google.com/spreadsheets/d/1SX6NBoVAgQJ6U1MVXOaj8PK2l7WJ3RER9xtqwdhxkhw/edit?usp=sharing"",""สิงห์บุรี!J394"")"),0)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IFERROR(__xludf.DUMMYFUNCTION("IMPORTRANGE(""https://docs.google.com/spreadsheets/d/1SX6NBoVAgQJ6U1MVXOaj8PK2l7WJ3RER9xtqwdhxkhw/edit?usp=sharing"",""สิงห์บุรี!I395"")"),0)</f>
        <v>0</v>
      </c>
      <c r="J500" s="162">
        <f ca="1">IFERROR(__xludf.DUMMYFUNCTION("IMPORTRANGE(""https://docs.google.com/spreadsheets/d/1SX6NBoVAgQJ6U1MVXOaj8PK2l7WJ3RER9xtqwdhxkhw/edit?usp=sharing"",""สิงห์บุรี!J395"")"),0)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IFERROR(__xludf.DUMMYFUNCTION("IMPORTRANGE(""https://docs.google.com/spreadsheets/d/1SX6NBoVAgQJ6U1MVXOaj8PK2l7WJ3RER9xtqwdhxkhw/edit?usp=sharing"",""สิงห์บุรี!I396"")"),0)</f>
        <v>0</v>
      </c>
      <c r="J501" s="162">
        <f ca="1">IFERROR(__xludf.DUMMYFUNCTION("IMPORTRANGE(""https://docs.google.com/spreadsheets/d/1SX6NBoVAgQJ6U1MVXOaj8PK2l7WJ3RER9xtqwdhxkhw/edit?usp=sharing"",""สิงห์บุรี!J396"")"),0)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IFERROR(__xludf.DUMMYFUNCTION("IMPORTRANGE(""https://docs.google.com/spreadsheets/d/1SX6NBoVAgQJ6U1MVXOaj8PK2l7WJ3RER9xtqwdhxkhw/edit?usp=sharing"",""สิงห์บุรี!I397"")"),0)</f>
        <v>0</v>
      </c>
      <c r="J502" s="189">
        <f ca="1">IFERROR(__xludf.DUMMYFUNCTION("IMPORTRANGE(""https://docs.google.com/spreadsheets/d/1SX6NBoVAgQJ6U1MVXOaj8PK2l7WJ3RER9xtqwdhxkhw/edit?usp=sharing"",""สิงห์บุรี!J397"")"),0)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IFERROR(__xludf.DUMMYFUNCTION("IMPORTRANGE(""https://docs.google.com/spreadsheets/d/1SX6NBoVAgQJ6U1MVXOaj8PK2l7WJ3RER9xtqwdhxkhw/edit?usp=sharing"",""สิงห์บุรี!I398"")"),0)</f>
        <v>0</v>
      </c>
      <c r="J503" s="198">
        <f ca="1">IFERROR(__xludf.DUMMYFUNCTION("IMPORTRANGE(""https://docs.google.com/spreadsheets/d/1SX6NBoVAgQJ6U1MVXOaj8PK2l7WJ3RER9xtqwdhxkhw/edit?usp=sharing"",""สิงห์บุรี!J398"")"),0)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IFERROR(__xludf.DUMMYFUNCTION("IMPORTRANGE(""https://docs.google.com/spreadsheets/d/1SX6NBoVAgQJ6U1MVXOaj8PK2l7WJ3RER9xtqwdhxkhw/edit?usp=sharing"",""สิงห์บุรี!I399"")"),0)</f>
        <v>0</v>
      </c>
      <c r="J504" s="189">
        <f ca="1">IFERROR(__xludf.DUMMYFUNCTION("IMPORTRANGE(""https://docs.google.com/spreadsheets/d/1SX6NBoVAgQJ6U1MVXOaj8PK2l7WJ3RER9xtqwdhxkhw/edit?usp=sharing"",""สิงห์บุรี!J399"")"),0)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IFERROR(__xludf.DUMMYFUNCTION("IMPORTRANGE(""https://docs.google.com/spreadsheets/d/1SX6NBoVAgQJ6U1MVXOaj8PK2l7WJ3RER9xtqwdhxkhw/edit?usp=sharing"",""สิงห์บุรี!I400"")"),0)</f>
        <v>0</v>
      </c>
      <c r="J505" s="198">
        <f ca="1">IFERROR(__xludf.DUMMYFUNCTION("IMPORTRANGE(""https://docs.google.com/spreadsheets/d/1SX6NBoVAgQJ6U1MVXOaj8PK2l7WJ3RER9xtqwdhxkhw/edit?usp=sharing"",""สิงห์บุรี!J400"")"),0)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IFERROR(__xludf.DUMMYFUNCTION("IMPORTRANGE(""https://docs.google.com/spreadsheets/d/1SX6NBoVAgQJ6U1MVXOaj8PK2l7WJ3RER9xtqwdhxkhw/edit?usp=sharing"",""สิงห์บุรี!I401"")"),0)</f>
        <v>0</v>
      </c>
      <c r="J506" s="189">
        <f ca="1">IFERROR(__xludf.DUMMYFUNCTION("IMPORTRANGE(""https://docs.google.com/spreadsheets/d/1SX6NBoVAgQJ6U1MVXOaj8PK2l7WJ3RER9xtqwdhxkhw/edit?usp=sharing"",""สิงห์บุรี!J401"")"),0)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IFERROR(__xludf.DUMMYFUNCTION("IMPORTRANGE(""https://docs.google.com/spreadsheets/d/1SX6NBoVAgQJ6U1MVXOaj8PK2l7WJ3RER9xtqwdhxkhw/edit?usp=sharing"",""สิงห์บุรี!I402"")"),0)</f>
        <v>0</v>
      </c>
      <c r="J507" s="198">
        <f ca="1">IFERROR(__xludf.DUMMYFUNCTION("IMPORTRANGE(""https://docs.google.com/spreadsheets/d/1SX6NBoVAgQJ6U1MVXOaj8PK2l7WJ3RER9xtqwdhxkhw/edit?usp=sharing"",""สิงห์บุรี!J402"")"),0)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IFERROR(__xludf.DUMMYFUNCTION("IMPORTRANGE(""https://docs.google.com/spreadsheets/d/1SX6NBoVAgQJ6U1MVXOaj8PK2l7WJ3RER9xtqwdhxkhw/edit?usp=sharing"",""สิงห์บุรี!I403"")"),0)</f>
        <v>0</v>
      </c>
      <c r="J508" s="162">
        <f ca="1">IFERROR(__xludf.DUMMYFUNCTION("IMPORTRANGE(""https://docs.google.com/spreadsheets/d/1SX6NBoVAgQJ6U1MVXOaj8PK2l7WJ3RER9xtqwdhxkhw/edit?usp=sharing"",""สิงห์บุรี!J403"")"),0)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IFERROR(__xludf.DUMMYFUNCTION("IMPORTRANGE(""https://docs.google.com/spreadsheets/d/1SX6NBoVAgQJ6U1MVXOaj8PK2l7WJ3RER9xtqwdhxkhw/edit?usp=sharing"",""สิงห์บุรี!I404"")"),0)</f>
        <v>0</v>
      </c>
      <c r="J509" s="162">
        <f ca="1">IFERROR(__xludf.DUMMYFUNCTION("IMPORTRANGE(""https://docs.google.com/spreadsheets/d/1SX6NBoVAgQJ6U1MVXOaj8PK2l7WJ3RER9xtqwdhxkhw/edit?usp=sharing"",""สิงห์บุรี!J404"")"),0)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IFERROR(__xludf.DUMMYFUNCTION("IMPORTRANGE(""https://docs.google.com/spreadsheets/d/1SX6NBoVAgQJ6U1MVXOaj8PK2l7WJ3RER9xtqwdhxkhw/edit?usp=sharing"",""สิงห์บุรี!I405"")"),0)</f>
        <v>0</v>
      </c>
      <c r="J510" s="198">
        <f ca="1">IFERROR(__xludf.DUMMYFUNCTION("IMPORTRANGE(""https://docs.google.com/spreadsheets/d/1SX6NBoVAgQJ6U1MVXOaj8PK2l7WJ3RER9xtqwdhxkhw/edit?usp=sharing"",""สิงห์บุรี!J405"")"),0)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IFERROR(__xludf.DUMMYFUNCTION("IMPORTRANGE(""https://docs.google.com/spreadsheets/d/1SX6NBoVAgQJ6U1MVXOaj8PK2l7WJ3RER9xtqwdhxkhw/edit?usp=sharing"",""สิงห์บุรี!I406"")"),0)</f>
        <v>0</v>
      </c>
      <c r="J511" s="198">
        <f ca="1">IFERROR(__xludf.DUMMYFUNCTION("IMPORTRANGE(""https://docs.google.com/spreadsheets/d/1SX6NBoVAgQJ6U1MVXOaj8PK2l7WJ3RER9xtqwdhxkhw/edit?usp=sharing"",""สิงห์บุรี!J406"")"),0)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IFERROR(__xludf.DUMMYFUNCTION("IMPORTRANGE(""https://docs.google.com/spreadsheets/d/1SX6NBoVAgQJ6U1MVXOaj8PK2l7WJ3RER9xtqwdhxkhw/edit?usp=sharing"",""สิงห์บุรี!I407"")"),0)</f>
        <v>0</v>
      </c>
      <c r="J512" s="198">
        <f ca="1">IFERROR(__xludf.DUMMYFUNCTION("IMPORTRANGE(""https://docs.google.com/spreadsheets/d/1SX6NBoVAgQJ6U1MVXOaj8PK2l7WJ3RER9xtqwdhxkhw/edit?usp=sharing"",""สิงห์บุรี!J407"")"),0)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IFERROR(__xludf.DUMMYFUNCTION("IMPORTRANGE(""https://docs.google.com/spreadsheets/d/1SX6NBoVAgQJ6U1MVXOaj8PK2l7WJ3RER9xtqwdhxkhw/edit?usp=sharing"",""สิงห์บุรี!I408"")"),0)</f>
        <v>0</v>
      </c>
      <c r="J513" s="198">
        <f ca="1">IFERROR(__xludf.DUMMYFUNCTION("IMPORTRANGE(""https://docs.google.com/spreadsheets/d/1SX6NBoVAgQJ6U1MVXOaj8PK2l7WJ3RER9xtqwdhxkhw/edit?usp=sharing"",""สิงห์บุรี!J408"")"),0)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IFERROR(__xludf.DUMMYFUNCTION("IMPORTRANGE(""https://docs.google.com/spreadsheets/d/1SX6NBoVAgQJ6U1MVXOaj8PK2l7WJ3RER9xtqwdhxkhw/edit?usp=sharing"",""สิงห์บุรี!I409"")"),0)</f>
        <v>0</v>
      </c>
      <c r="J514" s="198">
        <f ca="1">IFERROR(__xludf.DUMMYFUNCTION("IMPORTRANGE(""https://docs.google.com/spreadsheets/d/1SX6NBoVAgQJ6U1MVXOaj8PK2l7WJ3RER9xtqwdhxkhw/edit?usp=sharing"",""สิงห์บุรี!J409"")"),0)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IFERROR(__xludf.DUMMYFUNCTION("IMPORTRANGE(""https://docs.google.com/spreadsheets/d/1SX6NBoVAgQJ6U1MVXOaj8PK2l7WJ3RER9xtqwdhxkhw/edit?usp=sharing"",""สิงห์บุรี!I410"")"),0)</f>
        <v>0</v>
      </c>
      <c r="J515" s="198">
        <f ca="1">IFERROR(__xludf.DUMMYFUNCTION("IMPORTRANGE(""https://docs.google.com/spreadsheets/d/1SX6NBoVAgQJ6U1MVXOaj8PK2l7WJ3RER9xtqwdhxkhw/edit?usp=sharing"",""สิงห์บุรี!J410"")"),0)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IFERROR(__xludf.DUMMYFUNCTION("IMPORTRANGE(""https://docs.google.com/spreadsheets/d/1SX6NBoVAgQJ6U1MVXOaj8PK2l7WJ3RER9xtqwdhxkhw/edit?usp=sharing"",""สิงห์บุรี!I411"")"),0)</f>
        <v>0</v>
      </c>
      <c r="J516" s="268">
        <f ca="1">IFERROR(__xludf.DUMMYFUNCTION("IMPORTRANGE(""https://docs.google.com/spreadsheets/d/1SX6NBoVAgQJ6U1MVXOaj8PK2l7WJ3RER9xtqwdhxkhw/edit?usp=sharing"",""สิงห์บุรี!J411"")"),0)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IFERROR(__xludf.DUMMYFUNCTION("IMPORTRANGE(""https://docs.google.com/spreadsheets/d/1SX6NBoVAgQJ6U1MVXOaj8PK2l7WJ3RER9xtqwdhxkhw/edit?usp=sharing"",""สิงห์บุรี!I412"")"),0)</f>
        <v>0</v>
      </c>
      <c r="J517" s="285">
        <f ca="1">IFERROR(__xludf.DUMMYFUNCTION("IMPORTRANGE(""https://docs.google.com/spreadsheets/d/1SX6NBoVAgQJ6U1MVXOaj8PK2l7WJ3RER9xtqwdhxkhw/edit?usp=sharing"",""สิงห์บุรี!J412"")"),0)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IFERROR(__xludf.DUMMYFUNCTION("IMPORTRANGE(""https://docs.google.com/spreadsheets/d/1SX6NBoVAgQJ6U1MVXOaj8PK2l7WJ3RER9xtqwdhxkhw/edit?usp=sharing"",""สิงห์บุรี!I413"")"),0)</f>
        <v>0</v>
      </c>
      <c r="J518" s="285">
        <f ca="1">IFERROR(__xludf.DUMMYFUNCTION("IMPORTRANGE(""https://docs.google.com/spreadsheets/d/1SX6NBoVAgQJ6U1MVXOaj8PK2l7WJ3RER9xtqwdhxkhw/edit?usp=sharing"",""สิงห์บุรี!J413"")"),0)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IFERROR(__xludf.DUMMYFUNCTION("IMPORTRANGE(""https://docs.google.com/spreadsheets/d/1SX6NBoVAgQJ6U1MVXOaj8PK2l7WJ3RER9xtqwdhxkhw/edit?usp=sharing"",""สิงห์บุรี!I414"")"),0)</f>
        <v>0</v>
      </c>
      <c r="J519" s="188">
        <f ca="1">IFERROR(__xludf.DUMMYFUNCTION("IMPORTRANGE(""https://docs.google.com/spreadsheets/d/1SX6NBoVAgQJ6U1MVXOaj8PK2l7WJ3RER9xtqwdhxkhw/edit?usp=sharing"",""สิงห์บุรี!J414"")"),0)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IFERROR(__xludf.DUMMYFUNCTION("IMPORTRANGE(""https://docs.google.com/spreadsheets/d/1SX6NBoVAgQJ6U1MVXOaj8PK2l7WJ3RER9xtqwdhxkhw/edit?usp=sharing"",""สิงห์บุรี!I415"")"),0)</f>
        <v>0</v>
      </c>
      <c r="J520" s="188">
        <f ca="1">IFERROR(__xludf.DUMMYFUNCTION("IMPORTRANGE(""https://docs.google.com/spreadsheets/d/1SX6NBoVAgQJ6U1MVXOaj8PK2l7WJ3RER9xtqwdhxkhw/edit?usp=sharing"",""สิงห์บุรี!J415"")"),0)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IFERROR(__xludf.DUMMYFUNCTION("IMPORTRANGE(""https://docs.google.com/spreadsheets/d/1SX6NBoVAgQJ6U1MVXOaj8PK2l7WJ3RER9xtqwdhxkhw/edit?usp=sharing"",""สิงห์บุรี!I416"")"),0)</f>
        <v>0</v>
      </c>
      <c r="J521" s="188">
        <f ca="1">IFERROR(__xludf.DUMMYFUNCTION("IMPORTRANGE(""https://docs.google.com/spreadsheets/d/1SX6NBoVAgQJ6U1MVXOaj8PK2l7WJ3RER9xtqwdhxkhw/edit?usp=sharing"",""สิงห์บุรี!J416"")"),0)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IFERROR(__xludf.DUMMYFUNCTION("IMPORTRANGE(""https://docs.google.com/spreadsheets/d/1SX6NBoVAgQJ6U1MVXOaj8PK2l7WJ3RER9xtqwdhxkhw/edit?usp=sharing"",""สิงห์บุรี!I417"")"),0)</f>
        <v>0</v>
      </c>
      <c r="J522" s="188">
        <f ca="1">IFERROR(__xludf.DUMMYFUNCTION("IMPORTRANGE(""https://docs.google.com/spreadsheets/d/1SX6NBoVAgQJ6U1MVXOaj8PK2l7WJ3RER9xtqwdhxkhw/edit?usp=sharing"",""สิงห์บุรี!J417"")"),0)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IFERROR(__xludf.DUMMYFUNCTION("IMPORTRANGE(""https://docs.google.com/spreadsheets/d/1SX6NBoVAgQJ6U1MVXOaj8PK2l7WJ3RER9xtqwdhxkhw/edit?usp=sharing"",""สิงห์บุรี!I418"")"),0)</f>
        <v>0</v>
      </c>
      <c r="J523" s="188">
        <f ca="1">IFERROR(__xludf.DUMMYFUNCTION("IMPORTRANGE(""https://docs.google.com/spreadsheets/d/1SX6NBoVAgQJ6U1MVXOaj8PK2l7WJ3RER9xtqwdhxkhw/edit?usp=sharing"",""สิงห์บุรี!J418"")"),0)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IFERROR(__xludf.DUMMYFUNCTION("IMPORTRANGE(""https://docs.google.com/spreadsheets/d/1SX6NBoVAgQJ6U1MVXOaj8PK2l7WJ3RER9xtqwdhxkhw/edit?usp=sharing"",""สิงห์บุรี!I419"")"),0)</f>
        <v>0</v>
      </c>
      <c r="J524" s="188">
        <f ca="1">IFERROR(__xludf.DUMMYFUNCTION("IMPORTRANGE(""https://docs.google.com/spreadsheets/d/1SX6NBoVAgQJ6U1MVXOaj8PK2l7WJ3RER9xtqwdhxkhw/edit?usp=sharing"",""สิงห์บุรี!J419"")"),0)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IFERROR(__xludf.DUMMYFUNCTION("IMPORTRANGE(""https://docs.google.com/spreadsheets/d/1SX6NBoVAgQJ6U1MVXOaj8PK2l7WJ3RER9xtqwdhxkhw/edit?usp=sharing"",""สิงห์บุรี!I420"")"),0)</f>
        <v>0</v>
      </c>
      <c r="J525" s="285">
        <f ca="1">IFERROR(__xludf.DUMMYFUNCTION("IMPORTRANGE(""https://docs.google.com/spreadsheets/d/1SX6NBoVAgQJ6U1MVXOaj8PK2l7WJ3RER9xtqwdhxkhw/edit?usp=sharing"",""สิงห์บุรี!J420"")"),0)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IFERROR(__xludf.DUMMYFUNCTION("IMPORTRANGE(""https://docs.google.com/spreadsheets/d/1SX6NBoVAgQJ6U1MVXOaj8PK2l7WJ3RER9xtqwdhxkhw/edit?usp=sharing"",""สิงห์บุรี!I421"")"),0)</f>
        <v>0</v>
      </c>
      <c r="J526" s="285">
        <f ca="1">IFERROR(__xludf.DUMMYFUNCTION("IMPORTRANGE(""https://docs.google.com/spreadsheets/d/1SX6NBoVAgQJ6U1MVXOaj8PK2l7WJ3RER9xtqwdhxkhw/edit?usp=sharing"",""สิงห์บุรี!J421"")"),0)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IFERROR(__xludf.DUMMYFUNCTION("IMPORTRANGE(""https://docs.google.com/spreadsheets/d/1SX6NBoVAgQJ6U1MVXOaj8PK2l7WJ3RER9xtqwdhxkhw/edit?usp=sharing"",""สิงห์บุรี!I422"")"),0)</f>
        <v>0</v>
      </c>
      <c r="J527" s="198">
        <f ca="1">IFERROR(__xludf.DUMMYFUNCTION("IMPORTRANGE(""https://docs.google.com/spreadsheets/d/1SX6NBoVAgQJ6U1MVXOaj8PK2l7WJ3RER9xtqwdhxkhw/edit?usp=sharing"",""สิงห์บุรี!J422"")"),0)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IFERROR(__xludf.DUMMYFUNCTION("IMPORTRANGE(""https://docs.google.com/spreadsheets/d/1SX6NBoVAgQJ6U1MVXOaj8PK2l7WJ3RER9xtqwdhxkhw/edit?usp=sharing"",""สิงห์บุรี!I423"")"),0)</f>
        <v>0</v>
      </c>
      <c r="J528" s="198">
        <f ca="1">IFERROR(__xludf.DUMMYFUNCTION("IMPORTRANGE(""https://docs.google.com/spreadsheets/d/1SX6NBoVAgQJ6U1MVXOaj8PK2l7WJ3RER9xtqwdhxkhw/edit?usp=sharing"",""สิงห์บุรี!J423"")"),0)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IFERROR(__xludf.DUMMYFUNCTION("IMPORTRANGE(""https://docs.google.com/spreadsheets/d/1SX6NBoVAgQJ6U1MVXOaj8PK2l7WJ3RER9xtqwdhxkhw/edit?usp=sharing"",""สิงห์บุรี!I424"")"),0)</f>
        <v>0</v>
      </c>
      <c r="J529" s="198">
        <f ca="1">IFERROR(__xludf.DUMMYFUNCTION("IMPORTRANGE(""https://docs.google.com/spreadsheets/d/1SX6NBoVAgQJ6U1MVXOaj8PK2l7WJ3RER9xtqwdhxkhw/edit?usp=sharing"",""สิงห์บุรี!J424"")"),0)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IFERROR(__xludf.DUMMYFUNCTION("IMPORTRANGE(""https://docs.google.com/spreadsheets/d/1SX6NBoVAgQJ6U1MVXOaj8PK2l7WJ3RER9xtqwdhxkhw/edit?usp=sharing"",""สิงห์บุรี!I425"")"),0)</f>
        <v>0</v>
      </c>
      <c r="J530" s="198">
        <f ca="1">IFERROR(__xludf.DUMMYFUNCTION("IMPORTRANGE(""https://docs.google.com/spreadsheets/d/1SX6NBoVAgQJ6U1MVXOaj8PK2l7WJ3RER9xtqwdhxkhw/edit?usp=sharing"",""สิงห์บุรี!J425"")"),0)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IFERROR(__xludf.DUMMYFUNCTION("IMPORTRANGE(""https://docs.google.com/spreadsheets/d/1SX6NBoVAgQJ6U1MVXOaj8PK2l7WJ3RER9xtqwdhxkhw/edit?usp=sharing"",""สิงห์บุรี!I426"")"),0)</f>
        <v>0</v>
      </c>
      <c r="J531" s="198">
        <f ca="1">IFERROR(__xludf.DUMMYFUNCTION("IMPORTRANGE(""https://docs.google.com/spreadsheets/d/1SX6NBoVAgQJ6U1MVXOaj8PK2l7WJ3RER9xtqwdhxkhw/edit?usp=sharing"",""สิงห์บุรี!J426"")"),0)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IFERROR(__xludf.DUMMYFUNCTION("IMPORTRANGE(""https://docs.google.com/spreadsheets/d/1SX6NBoVAgQJ6U1MVXOaj8PK2l7WJ3RER9xtqwdhxkhw/edit?usp=sharing"",""สิงห์บุรี!I427"")"),0)</f>
        <v>0</v>
      </c>
      <c r="J532" s="466">
        <f ca="1">IFERROR(__xludf.DUMMYFUNCTION("IMPORTRANGE(""https://docs.google.com/spreadsheets/d/1SX6NBoVAgQJ6U1MVXOaj8PK2l7WJ3RER9xtqwdhxkhw/edit?usp=sharing"",""สิงห์บุรี!J427"")"),0)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IFERROR(__xludf.DUMMYFUNCTION("IMPORTRANGE(""https://docs.google.com/spreadsheets/d/1SX6NBoVAgQJ6U1MVXOaj8PK2l7WJ3RER9xtqwdhxkhw/edit?usp=sharing"",""สิงห์บุรี!I428"")"),10)</f>
        <v>10</v>
      </c>
      <c r="J533" s="410">
        <f ca="1">IFERROR(__xludf.DUMMYFUNCTION("IMPORTRANGE(""https://docs.google.com/spreadsheets/d/1SX6NBoVAgQJ6U1MVXOaj8PK2l7WJ3RER9xtqwdhxkhw/edit?usp=sharing"",""สิงห์บุรี!J428"")"),10)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IFERROR(__xludf.DUMMYFUNCTION("IMPORTRANGE(""https://docs.google.com/spreadsheets/d/1SX6NBoVAgQJ6U1MVXOaj8PK2l7WJ3RER9xtqwdhxkhw/edit?usp=sharing"",""สิงห์บุรี!L428"")"),24140)</f>
        <v>24140</v>
      </c>
      <c r="M533" s="412"/>
      <c r="N533" s="412">
        <f ca="1">IFERROR(__xludf.DUMMYFUNCTION("IMPORTRANGE(""https://docs.google.com/spreadsheets/d/1SX6NBoVAgQJ6U1MVXOaj8PK2l7WJ3RER9xtqwdhxkhw/edit?usp=sharing"",""สิงห์บุรี!M428"")"),23055)</f>
        <v>23055</v>
      </c>
      <c r="O533" s="412">
        <f t="shared" ref="O533:O537" ca="1" si="118">+IF(L533&gt;0,N533*100/L533,0)</f>
        <v>95.505385252692619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IFERROR(__xludf.DUMMYFUNCTION("IMPORTRANGE(""https://docs.google.com/spreadsheets/d/1SX6NBoVAgQJ6U1MVXOaj8PK2l7WJ3RER9xtqwdhxkhw/edit?usp=sharing"",""สิงห์บุรี!L429"")"),0)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IFERROR(__xludf.DUMMYFUNCTION("IMPORTRANGE(""https://docs.google.com/spreadsheets/d/1SX6NBoVAgQJ6U1MVXOaj8PK2l7WJ3RER9xtqwdhxkhw/edit?usp=sharing"",""สิงห์บุรี!M429"")"),0)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IFERROR(__xludf.DUMMYFUNCTION("IMPORTRANGE(""https://docs.google.com/spreadsheets/d/1SX6NBoVAgQJ6U1MVXOaj8PK2l7WJ3RER9xtqwdhxkhw/edit?usp=sharing"",""สิงห์บุรี!L430"")"),24140)</f>
        <v>24140</v>
      </c>
      <c r="M535" s="165"/>
      <c r="N535" s="169">
        <f ca="1">IFERROR(__xludf.DUMMYFUNCTION("IMPORTRANGE(""https://docs.google.com/spreadsheets/d/1SX6NBoVAgQJ6U1MVXOaj8PK2l7WJ3RER9xtqwdhxkhw/edit?usp=sharing"",""สิงห์บุรี!M430"")"),23055)</f>
        <v>23055</v>
      </c>
      <c r="O535" s="169">
        <f t="shared" ca="1" si="118"/>
        <v>95.505385252692619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IFERROR(__xludf.DUMMYFUNCTION("IMPORTRANGE(""https://docs.google.com/spreadsheets/d/1SX6NBoVAgQJ6U1MVXOaj8PK2l7WJ3RER9xtqwdhxkhw/edit?usp=sharing"",""สิงห์บุรี!L431"")"),0)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IFERROR(__xludf.DUMMYFUNCTION("IMPORTRANGE(""https://docs.google.com/spreadsheets/d/1SX6NBoVAgQJ6U1MVXOaj8PK2l7WJ3RER9xtqwdhxkhw/edit?usp=sharing"",""สิงห์บุรี!M431"")"),0)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IFERROR(__xludf.DUMMYFUNCTION("IMPORTRANGE(""https://docs.google.com/spreadsheets/d/1SX6NBoVAgQJ6U1MVXOaj8PK2l7WJ3RER9xtqwdhxkhw/edit?usp=sharing"",""สิงห์บุรี!L432"")"),24140)</f>
        <v>24140</v>
      </c>
      <c r="M537" s="169"/>
      <c r="N537" s="169">
        <f ca="1">IFERROR(__xludf.DUMMYFUNCTION("IMPORTRANGE(""https://docs.google.com/spreadsheets/d/1SX6NBoVAgQJ6U1MVXOaj8PK2l7WJ3RER9xtqwdhxkhw/edit?usp=sharing"",""สิงห์บุรี!M432"")"),23055)</f>
        <v>23055</v>
      </c>
      <c r="O537" s="169">
        <f t="shared" ca="1" si="118"/>
        <v>95.505385252692619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IFERROR(__xludf.DUMMYFUNCTION("IMPORTRANGE(""https://docs.google.com/spreadsheets/d/1SX6NBoVAgQJ6U1MVXOaj8PK2l7WJ3RER9xtqwdhxkhw/edit?usp=sharing"",""สิงห์บุรี!M433"")"),8540)</f>
        <v>8540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IFERROR(__xludf.DUMMYFUNCTION("IMPORTRANGE(""https://docs.google.com/spreadsheets/d/1SX6NBoVAgQJ6U1MVXOaj8PK2l7WJ3RER9xtqwdhxkhw/edit?usp=sharing"",""สิงห์บุรี!M434"")"),0)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IFERROR(__xludf.DUMMYFUNCTION("IMPORTRANGE(""https://docs.google.com/spreadsheets/d/1SX6NBoVAgQJ6U1MVXOaj8PK2l7WJ3RER9xtqwdhxkhw/edit?usp=sharing"",""สิงห์บุรี!M435"")"),0)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IFERROR(__xludf.DUMMYFUNCTION("IMPORTRANGE(""https://docs.google.com/spreadsheets/d/1SX6NBoVAgQJ6U1MVXOaj8PK2l7WJ3RER9xtqwdhxkhw/edit?usp=sharing"",""สิงห์บุรี!M436"")"),14515)</f>
        <v>14515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IFERROR(__xludf.DUMMYFUNCTION("IMPORTRANGE(""https://docs.google.com/spreadsheets/d/1SX6NBoVAgQJ6U1MVXOaj8PK2l7WJ3RER9xtqwdhxkhw/edit?usp=sharing"",""สิงห์บุรี!J438"")"),0)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IFERROR(__xludf.DUMMYFUNCTION("IMPORTRANGE(""https://docs.google.com/spreadsheets/d/1SX6NBoVAgQJ6U1MVXOaj8PK2l7WJ3RER9xtqwdhxkhw/edit?usp=sharing"",""สิงห์บุรี!J439"")"),1)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IFERROR(__xludf.DUMMYFUNCTION("IMPORTRANGE(""https://docs.google.com/spreadsheets/d/1SX6NBoVAgQJ6U1MVXOaj8PK2l7WJ3RER9xtqwdhxkhw/edit?usp=sharing"",""สิงห์บุรี!J440"")"),1)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IFERROR(__xludf.DUMMYFUNCTION("IMPORTRANGE(""https://docs.google.com/spreadsheets/d/1SX6NBoVAgQJ6U1MVXOaj8PK2l7WJ3RER9xtqwdhxkhw/edit?usp=sharing"",""สิงห์บุรี!J441"")"),1)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IFERROR(__xludf.DUMMYFUNCTION("IMPORTRANGE(""https://docs.google.com/spreadsheets/d/1SX6NBoVAgQJ6U1MVXOaj8PK2l7WJ3RER9xtqwdhxkhw/edit?usp=sharing"",""สิงห์บุรี!I442"")"),10)</f>
        <v>10</v>
      </c>
      <c r="J547" s="189">
        <f ca="1">IFERROR(__xludf.DUMMYFUNCTION("IMPORTRANGE(""https://docs.google.com/spreadsheets/d/1SX6NBoVAgQJ6U1MVXOaj8PK2l7WJ3RER9xtqwdhxkhw/edit?usp=sharing"",""สิงห์บุรี!J442"")"),10)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IFERROR(__xludf.DUMMYFUNCTION("IMPORTRANGE(""https://docs.google.com/spreadsheets/d/1SX6NBoVAgQJ6U1MVXOaj8PK2l7WJ3RER9xtqwdhxkhw/edit?usp=sharing"",""สิงห์บุรี!J166"")"),0)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IFERROR(__xludf.DUMMYFUNCTION("IMPORTRANGE(""https://docs.google.com/spreadsheets/d/1SX6NBoVAgQJ6U1MVXOaj8PK2l7WJ3RER9xtqwdhxkhw/edit?usp=sharing"",""สิงห์บุรี!J444"")"),0)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IFERROR(__xludf.DUMMYFUNCTION("IMPORTRANGE(""https://docs.google.com/spreadsheets/d/1SX6NBoVAgQJ6U1MVXOaj8PK2l7WJ3RER9xtqwdhxkhw/edit?usp=sharing"",""สิงห์บุรี!J445"")"),0)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IFERROR(__xludf.DUMMYFUNCTION("IMPORTRANGE(""https://docs.google.com/spreadsheets/d/1SX6NBoVAgQJ6U1MVXOaj8PK2l7WJ3RER9xtqwdhxkhw/edit?usp=sharing"",""สิงห์บุรี!I446"")"),0)</f>
        <v>0</v>
      </c>
      <c r="J551" s="410">
        <f ca="1">IFERROR(__xludf.DUMMYFUNCTION("IMPORTRANGE(""https://docs.google.com/spreadsheets/d/1SX6NBoVAgQJ6U1MVXOaj8PK2l7WJ3RER9xtqwdhxkhw/edit?usp=sharing"",""สิงห์บุรี!J446"")"),0)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IFERROR(__xludf.DUMMYFUNCTION("IMPORTRANGE(""https://docs.google.com/spreadsheets/d/1SX6NBoVAgQJ6U1MVXOaj8PK2l7WJ3RER9xtqwdhxkhw/edit?usp=sharing"",""สิงห์บุรี!L446"")"),0)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IFERROR(__xludf.DUMMYFUNCTION("IMPORTRANGE(""https://docs.google.com/spreadsheets/d/1SX6NBoVAgQJ6U1MVXOaj8PK2l7WJ3RER9xtqwdhxkhw/edit?usp=sharing"",""สิงห์บุรี!M446"")"),0)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IFERROR(__xludf.DUMMYFUNCTION("IMPORTRANGE(""https://docs.google.com/spreadsheets/d/1SX6NBoVAgQJ6U1MVXOaj8PK2l7WJ3RER9xtqwdhxkhw/edit?usp=sharing"",""สิงห์บุรี!L447"")"),0)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IFERROR(__xludf.DUMMYFUNCTION("IMPORTRANGE(""https://docs.google.com/spreadsheets/d/1SX6NBoVAgQJ6U1MVXOaj8PK2l7WJ3RER9xtqwdhxkhw/edit?usp=sharing"",""สิงห์บุรี!M447"")"),0)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IFERROR(__xludf.DUMMYFUNCTION("IMPORTRANGE(""https://docs.google.com/spreadsheets/d/1SX6NBoVAgQJ6U1MVXOaj8PK2l7WJ3RER9xtqwdhxkhw/edit?usp=sharing"",""สิงห์บุรี!L448"")"),0)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IFERROR(__xludf.DUMMYFUNCTION("IMPORTRANGE(""https://docs.google.com/spreadsheets/d/1SX6NBoVAgQJ6U1MVXOaj8PK2l7WJ3RER9xtqwdhxkhw/edit?usp=sharing"",""สิงห์บุรี!M448"")"),0)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IFERROR(__xludf.DUMMYFUNCTION("IMPORTRANGE(""https://docs.google.com/spreadsheets/d/1SX6NBoVAgQJ6U1MVXOaj8PK2l7WJ3RER9xtqwdhxkhw/edit?usp=sharing"",""สิงห์บุรี!L449"")"),0)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IFERROR(__xludf.DUMMYFUNCTION("IMPORTRANGE(""https://docs.google.com/spreadsheets/d/1SX6NBoVAgQJ6U1MVXOaj8PK2l7WJ3RER9xtqwdhxkhw/edit?usp=sharing"",""สิงห์บุรี!M449"")"),0)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IFERROR(__xludf.DUMMYFUNCTION("IMPORTRANGE(""https://docs.google.com/spreadsheets/d/1SX6NBoVAgQJ6U1MVXOaj8PK2l7WJ3RER9xtqwdhxkhw/edit?usp=sharing"",""สิงห์บุรี!L450"")"),0)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IFERROR(__xludf.DUMMYFUNCTION("IMPORTRANGE(""https://docs.google.com/spreadsheets/d/1SX6NBoVAgQJ6U1MVXOaj8PK2l7WJ3RER9xtqwdhxkhw/edit?usp=sharing"",""สิงห์บุรี!M450"")"),0)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IFERROR(__xludf.DUMMYFUNCTION("IMPORTRANGE(""https://docs.google.com/spreadsheets/d/1SX6NBoVAgQJ6U1MVXOaj8PK2l7WJ3RER9xtqwdhxkhw/edit?usp=sharing"",""สิงห์บุรี!M451"")"),0)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IFERROR(__xludf.DUMMYFUNCTION("IMPORTRANGE(""https://docs.google.com/spreadsheets/d/1SX6NBoVAgQJ6U1MVXOaj8PK2l7WJ3RER9xtqwdhxkhw/edit?usp=sharing"",""สิงห์บุรี!M452"")"),0)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IFERROR(__xludf.DUMMYFUNCTION("IMPORTRANGE(""https://docs.google.com/spreadsheets/d/1SX6NBoVAgQJ6U1MVXOaj8PK2l7WJ3RER9xtqwdhxkhw/edit?usp=sharing"",""สิงห์บุรี!M453"")"),0)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IFERROR(__xludf.DUMMYFUNCTION("IMPORTRANGE(""https://docs.google.com/spreadsheets/d/1SX6NBoVAgQJ6U1MVXOaj8PK2l7WJ3RER9xtqwdhxkhw/edit?usp=sharing"",""สิงห์บุรี!M454"")"),0)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IFERROR(__xludf.DUMMYFUNCTION("IMPORTRANGE(""https://docs.google.com/spreadsheets/d/1SX6NBoVAgQJ6U1MVXOaj8PK2l7WJ3RER9xtqwdhxkhw/edit?usp=sharing"",""สิงห์บุรี!I455"")"),0)</f>
        <v>0</v>
      </c>
      <c r="J560" s="162">
        <f ca="1">IFERROR(__xludf.DUMMYFUNCTION("IMPORTRANGE(""https://docs.google.com/spreadsheets/d/1SX6NBoVAgQJ6U1MVXOaj8PK2l7WJ3RER9xtqwdhxkhw/edit?usp=sharing"",""สิงห์บุรี!J455"")"),0)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IFERROR(__xludf.DUMMYFUNCTION("IMPORTRANGE(""https://docs.google.com/spreadsheets/d/1SX6NBoVAgQJ6U1MVXOaj8PK2l7WJ3RER9xtqwdhxkhw/edit?usp=sharing"",""สิงห์บุรี!I456"")"),0)</f>
        <v>0</v>
      </c>
      <c r="J561" s="204">
        <f ca="1">IFERROR(__xludf.DUMMYFUNCTION("IMPORTRANGE(""https://docs.google.com/spreadsheets/d/1SX6NBoVAgQJ6U1MVXOaj8PK2l7WJ3RER9xtqwdhxkhw/edit?usp=sharing"",""สิงห์บุรี!J456"")"),0)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IFERROR(__xludf.DUMMYFUNCTION("IMPORTRANGE(""https://docs.google.com/spreadsheets/d/1SX6NBoVAgQJ6U1MVXOaj8PK2l7WJ3RER9xtqwdhxkhw/edit?usp=sharing"",""สิงห์บุรี!I459"")"),20)</f>
        <v>20</v>
      </c>
      <c r="J564" s="371">
        <f ca="1">IFERROR(__xludf.DUMMYFUNCTION("IMPORTRANGE(""https://docs.google.com/spreadsheets/d/1SX6NBoVAgQJ6U1MVXOaj8PK2l7WJ3RER9xtqwdhxkhw/edit?usp=sharing"",""สิงห์บุรี!J459"")"),33)</f>
        <v>33</v>
      </c>
      <c r="K564" s="372">
        <f ca="1">IF(I564&gt;0,J564*100/I564,0)</f>
        <v>165</v>
      </c>
      <c r="L564" s="373">
        <f ca="1">IFERROR(__xludf.DUMMYFUNCTION("IMPORTRANGE(""https://docs.google.com/spreadsheets/d/1SX6NBoVAgQJ6U1MVXOaj8PK2l7WJ3RER9xtqwdhxkhw/edit?usp=sharing"",""สิงห์บุรี!L459"")"),117840)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3">
        <f t="shared" ref="O564:O568" ca="1" si="122">+IF(L564&gt;0,N564*100/L564,0)</f>
        <v>46.55181602172437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IFERROR(__xludf.DUMMYFUNCTION("IMPORTRANGE(""https://docs.google.com/spreadsheets/d/1SX6NBoVAgQJ6U1MVXOaj8PK2l7WJ3RER9xtqwdhxkhw/edit?usp=sharing"",""สิงห์บุรี!L460"")"),0)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IFERROR(__xludf.DUMMYFUNCTION("IMPORTRANGE(""https://docs.google.com/spreadsheets/d/1SX6NBoVAgQJ6U1MVXOaj8PK2l7WJ3RER9xtqwdhxkhw/edit?usp=sharing"",""สิงห์บุรี!M460"")"),0)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IFERROR(__xludf.DUMMYFUNCTION("IMPORTRANGE(""https://docs.google.com/spreadsheets/d/1SX6NBoVAgQJ6U1MVXOaj8PK2l7WJ3RER9xtqwdhxkhw/edit?usp=sharing"",""สิงห์บุรี!L461"")"),117840)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69">
        <f t="shared" ca="1" si="122"/>
        <v>46.55181602172437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IFERROR(__xludf.DUMMYFUNCTION("IMPORTRANGE(""https://docs.google.com/spreadsheets/d/1SX6NBoVAgQJ6U1MVXOaj8PK2l7WJ3RER9xtqwdhxkhw/edit?usp=sharing"",""สิงห์บุรี!L462"")"),0)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IFERROR(__xludf.DUMMYFUNCTION("IMPORTRANGE(""https://docs.google.com/spreadsheets/d/1SX6NBoVAgQJ6U1MVXOaj8PK2l7WJ3RER9xtqwdhxkhw/edit?usp=sharing"",""สิงห์บุรี!M462"")"),0)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IFERROR(__xludf.DUMMYFUNCTION("IMPORTRANGE(""https://docs.google.com/spreadsheets/d/1SX6NBoVAgQJ6U1MVXOaj8PK2l7WJ3RER9xtqwdhxkhw/edit?usp=sharing"",""สิงห์บุรี!L463"")"),117840)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69">
        <f t="shared" ca="1" si="122"/>
        <v>46.55181602172437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IFERROR(__xludf.DUMMYFUNCTION("IMPORTRANGE(""https://docs.google.com/spreadsheets/d/1SX6NBoVAgQJ6U1MVXOaj8PK2l7WJ3RER9xtqwdhxkhw/edit?usp=sharing"",""สิงห์บุรี!M464"")"),0)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IFERROR(__xludf.DUMMYFUNCTION("IMPORTRANGE(""https://docs.google.com/spreadsheets/d/1SX6NBoVAgQJ6U1MVXOaj8PK2l7WJ3RER9xtqwdhxkhw/edit?usp=sharing"",""สิงห์บุรี!M465"")"),0)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IFERROR(__xludf.DUMMYFUNCTION("IMPORTRANGE(""https://docs.google.com/spreadsheets/d/1SX6NBoVAgQJ6U1MVXOaj8PK2l7WJ3RER9xtqwdhxkhw/edit?usp=sharing"",""สิงห์บุรี!M467"")"),590)</f>
        <v>590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IFERROR(__xludf.DUMMYFUNCTION("IMPORTRANGE(""https://docs.google.com/spreadsheets/d/1SX6NBoVAgQJ6U1MVXOaj8PK2l7WJ3RER9xtqwdhxkhw/edit?usp=sharing"",""สิงห์บุรี!I468"")"),20)</f>
        <v>20</v>
      </c>
      <c r="J573" s="420">
        <f ca="1">IFERROR(__xludf.DUMMYFUNCTION("IMPORTRANGE(""https://docs.google.com/spreadsheets/d/1SX6NBoVAgQJ6U1MVXOaj8PK2l7WJ3RER9xtqwdhxkhw/edit?usp=sharing"",""สิงห์บุรี!J468"")"),33)</f>
        <v>33</v>
      </c>
      <c r="K573" s="202">
        <f ca="1">IF(I573&gt;0,J573*100/I573,0)</f>
        <v>165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IFERROR(__xludf.DUMMYFUNCTION("IMPORTRANGE(""https://docs.google.com/spreadsheets/d/1SX6NBoVAgQJ6U1MVXOaj8PK2l7WJ3RER9xtqwdhxkhw/edit?usp=sharing"",""สิงห์บุรี!I470"")"),0)</f>
        <v>0</v>
      </c>
      <c r="J575" s="198">
        <f ca="1">IFERROR(__xludf.DUMMYFUNCTION("IMPORTRANGE(""https://docs.google.com/spreadsheets/d/1SX6NBoVAgQJ6U1MVXOaj8PK2l7WJ3RER9xtqwdhxkhw/edit?usp=sharing"",""สิงห์บุรี!J470"")"),1)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IFERROR(__xludf.DUMMYFUNCTION("IMPORTRANGE(""https://docs.google.com/spreadsheets/d/1SX6NBoVAgQJ6U1MVXOaj8PK2l7WJ3RER9xtqwdhxkhw/edit?usp=sharing"",""สิงห์บุรี!I471"")"),0)</f>
        <v>0</v>
      </c>
      <c r="J576" s="198">
        <f ca="1">IFERROR(__xludf.DUMMYFUNCTION("IMPORTRANGE(""https://docs.google.com/spreadsheets/d/1SX6NBoVAgQJ6U1MVXOaj8PK2l7WJ3RER9xtqwdhxkhw/edit?usp=sharing"",""สิงห์บุรี!J471"")"),5)</f>
        <v>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IFERROR(__xludf.DUMMYFUNCTION("IMPORTRANGE(""https://docs.google.com/spreadsheets/d/1SX6NBoVAgQJ6U1MVXOaj8PK2l7WJ3RER9xtqwdhxkhw/edit?usp=sharing"",""สิงห์บุรี!I472"")"),0)</f>
        <v>0</v>
      </c>
      <c r="J577" s="189">
        <f ca="1">IFERROR(__xludf.DUMMYFUNCTION("IMPORTRANGE(""https://docs.google.com/spreadsheets/d/1SX6NBoVAgQJ6U1MVXOaj8PK2l7WJ3RER9xtqwdhxkhw/edit?usp=sharing"",""สิงห์บุรี!J472"")"),24)</f>
        <v>24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IFERROR(__xludf.DUMMYFUNCTION("IMPORTRANGE(""https://docs.google.com/spreadsheets/d/1SX6NBoVAgQJ6U1MVXOaj8PK2l7WJ3RER9xtqwdhxkhw/edit?usp=sharing"",""สิงห์บุรี!I473"")"),0)</f>
        <v>0</v>
      </c>
      <c r="J578" s="198">
        <f ca="1">IFERROR(__xludf.DUMMYFUNCTION("IMPORTRANGE(""https://docs.google.com/spreadsheets/d/1SX6NBoVAgQJ6U1MVXOaj8PK2l7WJ3RER9xtqwdhxkhw/edit?usp=sharing"",""สิงห์บุรี!J473"")"),0)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IFERROR(__xludf.DUMMYFUNCTION("IMPORTRANGE(""https://docs.google.com/spreadsheets/d/1SX6NBoVAgQJ6U1MVXOaj8PK2l7WJ3RER9xtqwdhxkhw/edit?usp=sharing"",""สิงห์บุรี!I474"")"),0)</f>
        <v>0</v>
      </c>
      <c r="J579" s="198">
        <f ca="1">IFERROR(__xludf.DUMMYFUNCTION("IMPORTRANGE(""https://docs.google.com/spreadsheets/d/1SX6NBoVAgQJ6U1MVXOaj8PK2l7WJ3RER9xtqwdhxkhw/edit?usp=sharing"",""สิงห์บุรี!J474"")"),4)</f>
        <v>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IFERROR(__xludf.DUMMYFUNCTION("IMPORTRANGE(""https://docs.google.com/spreadsheets/d/1SX6NBoVAgQJ6U1MVXOaj8PK2l7WJ3RER9xtqwdhxkhw/edit?usp=sharing"",""สิงห์บุรี!I475"")"),0)</f>
        <v>0</v>
      </c>
      <c r="J580" s="371">
        <f ca="1">IFERROR(__xludf.DUMMYFUNCTION("IMPORTRANGE(""https://docs.google.com/spreadsheets/d/1SX6NBoVAgQJ6U1MVXOaj8PK2l7WJ3RER9xtqwdhxkhw/edit?usp=sharing"",""สิงห์บุรี!J475"")"),0)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IFERROR(__xludf.DUMMYFUNCTION("IMPORTRANGE(""https://docs.google.com/spreadsheets/d/1SX6NBoVAgQJ6U1MVXOaj8PK2l7WJ3RER9xtqwdhxkhw/edit?usp=sharing"",""สิงห์บุรี!L475"")"),0)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IFERROR(__xludf.DUMMYFUNCTION("IMPORTRANGE(""https://docs.google.com/spreadsheets/d/1SX6NBoVAgQJ6U1MVXOaj8PK2l7WJ3RER9xtqwdhxkhw/edit?usp=sharing"",""สิงห์บุรี!M475"")"),0)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IFERROR(__xludf.DUMMYFUNCTION("IMPORTRANGE(""https://docs.google.com/spreadsheets/d/1SX6NBoVAgQJ6U1MVXOaj8PK2l7WJ3RER9xtqwdhxkhw/edit?usp=sharing"",""สิงห์บุรี!L476"")"),0)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IFERROR(__xludf.DUMMYFUNCTION("IMPORTRANGE(""https://docs.google.com/spreadsheets/d/1SX6NBoVAgQJ6U1MVXOaj8PK2l7WJ3RER9xtqwdhxkhw/edit?usp=sharing"",""สิงห์บุรี!M476"")"),0)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IFERROR(__xludf.DUMMYFUNCTION("IMPORTRANGE(""https://docs.google.com/spreadsheets/d/1SX6NBoVAgQJ6U1MVXOaj8PK2l7WJ3RER9xtqwdhxkhw/edit?usp=sharing"",""สิงห์บุรี!L477"")"),0)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IFERROR(__xludf.DUMMYFUNCTION("IMPORTRANGE(""https://docs.google.com/spreadsheets/d/1SX6NBoVAgQJ6U1MVXOaj8PK2l7WJ3RER9xtqwdhxkhw/edit?usp=sharing"",""สิงห์บุรี!M477"")"),0)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IFERROR(__xludf.DUMMYFUNCTION("IMPORTRANGE(""https://docs.google.com/spreadsheets/d/1SX6NBoVAgQJ6U1MVXOaj8PK2l7WJ3RER9xtqwdhxkhw/edit?usp=sharing"",""สิงห์บุรี!L478"")"),0)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IFERROR(__xludf.DUMMYFUNCTION("IMPORTRANGE(""https://docs.google.com/spreadsheets/d/1SX6NBoVAgQJ6U1MVXOaj8PK2l7WJ3RER9xtqwdhxkhw/edit?usp=sharing"",""สิงห์บุรี!M478"")"),0)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IFERROR(__xludf.DUMMYFUNCTION("IMPORTRANGE(""https://docs.google.com/spreadsheets/d/1SX6NBoVAgQJ6U1MVXOaj8PK2l7WJ3RER9xtqwdhxkhw/edit?usp=sharing"",""สิงห์บุรี!L479"")"),0)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IFERROR(__xludf.DUMMYFUNCTION("IMPORTRANGE(""https://docs.google.com/spreadsheets/d/1SX6NBoVAgQJ6U1MVXOaj8PK2l7WJ3RER9xtqwdhxkhw/edit?usp=sharing"",""สิงห์บุรี!M479"")"),0)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IFERROR(__xludf.DUMMYFUNCTION("IMPORTRANGE(""https://docs.google.com/spreadsheets/d/1SX6NBoVAgQJ6U1MVXOaj8PK2l7WJ3RER9xtqwdhxkhw/edit?usp=sharing"",""สิงห์บุรี!M480"")"),0)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IFERROR(__xludf.DUMMYFUNCTION("IMPORTRANGE(""https://docs.google.com/spreadsheets/d/1SX6NBoVAgQJ6U1MVXOaj8PK2l7WJ3RER9xtqwdhxkhw/edit?usp=sharing"",""สิงห์บุรี!M481"")"),0)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IFERROR(__xludf.DUMMYFUNCTION("IMPORTRANGE(""https://docs.google.com/spreadsheets/d/1SX6NBoVAgQJ6U1MVXOaj8PK2l7WJ3RER9xtqwdhxkhw/edit?usp=sharing"",""สิงห์บุรี!M482"")"),0)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IFERROR(__xludf.DUMMYFUNCTION("IMPORTRANGE(""https://docs.google.com/spreadsheets/d/1SX6NBoVAgQJ6U1MVXOaj8PK2l7WJ3RER9xtqwdhxkhw/edit?usp=sharing"",""สิงห์บุรี!M483"")"),0)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IFERROR(__xludf.DUMMYFUNCTION("IMPORTRANGE(""https://docs.google.com/spreadsheets/d/1SX6NBoVAgQJ6U1MVXOaj8PK2l7WJ3RER9xtqwdhxkhw/edit?usp=sharing"",""สิงห์บุรี!I484"")"),0)</f>
        <v>0</v>
      </c>
      <c r="J589" s="188">
        <f ca="1">IFERROR(__xludf.DUMMYFUNCTION("IMPORTRANGE(""https://docs.google.com/spreadsheets/d/1SX6NBoVAgQJ6U1MVXOaj8PK2l7WJ3RER9xtqwdhxkhw/edit?usp=sharing"",""สิงห์บุรี!J484"")"),0)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IFERROR(__xludf.DUMMYFUNCTION("IMPORTRANGE(""https://docs.google.com/spreadsheets/d/1SX6NBoVAgQJ6U1MVXOaj8PK2l7WJ3RER9xtqwdhxkhw/edit?usp=sharing"",""สิงห์บุรี!I485"")"),0)</f>
        <v>0</v>
      </c>
      <c r="J590" s="188">
        <f ca="1">IFERROR(__xludf.DUMMYFUNCTION("IMPORTRANGE(""https://docs.google.com/spreadsheets/d/1SX6NBoVAgQJ6U1MVXOaj8PK2l7WJ3RER9xtqwdhxkhw/edit?usp=sharing"",""สิงห์บุรี!J485"")"),0)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IFERROR(__xludf.DUMMYFUNCTION("IMPORTRANGE(""https://docs.google.com/spreadsheets/d/1SX6NBoVAgQJ6U1MVXOaj8PK2l7WJ3RER9xtqwdhxkhw/edit?usp=sharing"",""สิงห์บุรี!I486"")"),0)</f>
        <v>0</v>
      </c>
      <c r="J591" s="188">
        <f ca="1">IFERROR(__xludf.DUMMYFUNCTION("IMPORTRANGE(""https://docs.google.com/spreadsheets/d/1SX6NBoVAgQJ6U1MVXOaj8PK2l7WJ3RER9xtqwdhxkhw/edit?usp=sharing"",""สิงห์บุรี!J486"")"),0)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IFERROR(__xludf.DUMMYFUNCTION("IMPORTRANGE(""https://docs.google.com/spreadsheets/d/1SX6NBoVAgQJ6U1MVXOaj8PK2l7WJ3RER9xtqwdhxkhw/edit?usp=sharing"",""สิงห์บุรี!I487"")"),0)</f>
        <v>0</v>
      </c>
      <c r="J592" s="188">
        <f ca="1">IFERROR(__xludf.DUMMYFUNCTION("IMPORTRANGE(""https://docs.google.com/spreadsheets/d/1SX6NBoVAgQJ6U1MVXOaj8PK2l7WJ3RER9xtqwdhxkhw/edit?usp=sharing"",""สิงห์บุรี!J487"")"),0)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IFERROR(__xludf.DUMMYFUNCTION("IMPORTRANGE(""https://docs.google.com/spreadsheets/d/1SX6NBoVAgQJ6U1MVXOaj8PK2l7WJ3RER9xtqwdhxkhw/edit?usp=sharing"",""สิงห์บุรี!I488"")"),0)</f>
        <v>0</v>
      </c>
      <c r="J593" s="188">
        <f ca="1">IFERROR(__xludf.DUMMYFUNCTION("IMPORTRANGE(""https://docs.google.com/spreadsheets/d/1SX6NBoVAgQJ6U1MVXOaj8PK2l7WJ3RER9xtqwdhxkhw/edit?usp=sharing"",""สิงห์บุรี!J488"")"),0)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IFERROR(__xludf.DUMMYFUNCTION("IMPORTRANGE(""https://docs.google.com/spreadsheets/d/1SX6NBoVAgQJ6U1MVXOaj8PK2l7WJ3RER9xtqwdhxkhw/edit?usp=sharing"",""สิงห์บุรี!I489"")"),0)</f>
        <v>0</v>
      </c>
      <c r="J594" s="188">
        <f ca="1">IFERROR(__xludf.DUMMYFUNCTION("IMPORTRANGE(""https://docs.google.com/spreadsheets/d/1SX6NBoVAgQJ6U1MVXOaj8PK2l7WJ3RER9xtqwdhxkhw/edit?usp=sharing"",""สิงห์บุรี!J489"")"),0)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IFERROR(__xludf.DUMMYFUNCTION("IMPORTRANGE(""https://docs.google.com/spreadsheets/d/1SX6NBoVAgQJ6U1MVXOaj8PK2l7WJ3RER9xtqwdhxkhw/edit?usp=sharing"",""สิงห์บุรี!I490"")"),0)</f>
        <v>0</v>
      </c>
      <c r="J595" s="188">
        <f ca="1">IFERROR(__xludf.DUMMYFUNCTION("IMPORTRANGE(""https://docs.google.com/spreadsheets/d/1SX6NBoVAgQJ6U1MVXOaj8PK2l7WJ3RER9xtqwdhxkhw/edit?usp=sharing"",""สิงห์บุรี!J490"")"),0)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IFERROR(__xludf.DUMMYFUNCTION("IMPORTRANGE(""https://docs.google.com/spreadsheets/d/1SX6NBoVAgQJ6U1MVXOaj8PK2l7WJ3RER9xtqwdhxkhw/edit?usp=sharing"",""สิงห์บุรี!I491"")"),0)</f>
        <v>0</v>
      </c>
      <c r="J596" s="242">
        <f ca="1">IFERROR(__xludf.DUMMYFUNCTION("IMPORTRANGE(""https://docs.google.com/spreadsheets/d/1SX6NBoVAgQJ6U1MVXOaj8PK2l7WJ3RER9xtqwdhxkhw/edit?usp=sharing"",""สิงห์บุรี!J491"")"),0)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IFERROR(__xludf.DUMMYFUNCTION("IMPORTRANGE(""https://docs.google.com/spreadsheets/d/1SX6NBoVAgQJ6U1MVXOaj8PK2l7WJ3RER9xtqwdhxkhw/edit?usp=sharing"",""สิงห์บุรี!I492"")"),100)</f>
        <v>100</v>
      </c>
      <c r="J597" s="488">
        <f ca="1">IFERROR(__xludf.DUMMYFUNCTION("IMPORTRANGE(""https://docs.google.com/spreadsheets/d/1SX6NBoVAgQJ6U1MVXOaj8PK2l7WJ3RER9xtqwdhxkhw/edit?usp=sharing"",""สิงห์บุรี!J492"")"),624)</f>
        <v>624</v>
      </c>
      <c r="K597" s="411">
        <f ca="1">IF(I597&gt;0,J597*100/I597,0)</f>
        <v>624</v>
      </c>
      <c r="L597" s="412">
        <f ca="1">IFERROR(__xludf.DUMMYFUNCTION("IMPORTRANGE(""https://docs.google.com/spreadsheets/d/1SX6NBoVAgQJ6U1MVXOaj8PK2l7WJ3RER9xtqwdhxkhw/edit?usp=sharing"",""สิงห์บุรี!L492"")"),7300)</f>
        <v>7300</v>
      </c>
      <c r="M597" s="412"/>
      <c r="N597" s="412">
        <f ca="1">IFERROR(__xludf.DUMMYFUNCTION("IMPORTRANGE(""https://docs.google.com/spreadsheets/d/1SX6NBoVAgQJ6U1MVXOaj8PK2l7WJ3RER9xtqwdhxkhw/edit?usp=sharing"",""สิงห์บุรี!M492"")"),4300)</f>
        <v>4300</v>
      </c>
      <c r="O597" s="412">
        <f t="shared" ref="O597:O601" ca="1" si="126">+IF(L597&gt;0,N597*100/L597,0)</f>
        <v>58.904109589041099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IFERROR(__xludf.DUMMYFUNCTION("IMPORTRANGE(""https://docs.google.com/spreadsheets/d/1SX6NBoVAgQJ6U1MVXOaj8PK2l7WJ3RER9xtqwdhxkhw/edit?usp=sharing"",""สิงห์บุรี!L493"")"),0)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IFERROR(__xludf.DUMMYFUNCTION("IMPORTRANGE(""https://docs.google.com/spreadsheets/d/1SX6NBoVAgQJ6U1MVXOaj8PK2l7WJ3RER9xtqwdhxkhw/edit?usp=sharing"",""สิงห์บุรี!M493"")"),0)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IFERROR(__xludf.DUMMYFUNCTION("IMPORTRANGE(""https://docs.google.com/spreadsheets/d/1SX6NBoVAgQJ6U1MVXOaj8PK2l7WJ3RER9xtqwdhxkhw/edit?usp=sharing"",""สิงห์บุรี!L494"")"),7300)</f>
        <v>7300</v>
      </c>
      <c r="M599" s="165"/>
      <c r="N599" s="169">
        <f ca="1">IFERROR(__xludf.DUMMYFUNCTION("IMPORTRANGE(""https://docs.google.com/spreadsheets/d/1SX6NBoVAgQJ6U1MVXOaj8PK2l7WJ3RER9xtqwdhxkhw/edit?usp=sharing"",""สิงห์บุรี!M494"")"),4300)</f>
        <v>4300</v>
      </c>
      <c r="O599" s="169">
        <f t="shared" ca="1" si="126"/>
        <v>58.904109589041099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IFERROR(__xludf.DUMMYFUNCTION("IMPORTRANGE(""https://docs.google.com/spreadsheets/d/1SX6NBoVAgQJ6U1MVXOaj8PK2l7WJ3RER9xtqwdhxkhw/edit?usp=sharing"",""สิงห์บุรี!L495"")"),0)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IFERROR(__xludf.DUMMYFUNCTION("IMPORTRANGE(""https://docs.google.com/spreadsheets/d/1SX6NBoVAgQJ6U1MVXOaj8PK2l7WJ3RER9xtqwdhxkhw/edit?usp=sharing"",""สิงห์บุรี!M495"")"),0)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IFERROR(__xludf.DUMMYFUNCTION("IMPORTRANGE(""https://docs.google.com/spreadsheets/d/1SX6NBoVAgQJ6U1MVXOaj8PK2l7WJ3RER9xtqwdhxkhw/edit?usp=sharing"",""สิงห์บุรี!L496"")"),7300)</f>
        <v>7300</v>
      </c>
      <c r="M601" s="169"/>
      <c r="N601" s="169">
        <f ca="1">IFERROR(__xludf.DUMMYFUNCTION("IMPORTRANGE(""https://docs.google.com/spreadsheets/d/1SX6NBoVAgQJ6U1MVXOaj8PK2l7WJ3RER9xtqwdhxkhw/edit?usp=sharing"",""สิงห์บุรี!M496"")"),4300)</f>
        <v>4300</v>
      </c>
      <c r="O601" s="169">
        <f t="shared" ca="1" si="126"/>
        <v>58.904109589041099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IFERROR(__xludf.DUMMYFUNCTION("IMPORTRANGE(""https://docs.google.com/spreadsheets/d/1SX6NBoVAgQJ6U1MVXOaj8PK2l7WJ3RER9xtqwdhxkhw/edit?usp=sharing"",""สิงห์บุรี!M497"")"),0)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IFERROR(__xludf.DUMMYFUNCTION("IMPORTRANGE(""https://docs.google.com/spreadsheets/d/1SX6NBoVAgQJ6U1MVXOaj8PK2l7WJ3RER9xtqwdhxkhw/edit?usp=sharing"",""สิงห์บุรี!M498"")"),0)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IFERROR(__xludf.DUMMYFUNCTION("IMPORTRANGE(""https://docs.google.com/spreadsheets/d/1SX6NBoVAgQJ6U1MVXOaj8PK2l7WJ3RER9xtqwdhxkhw/edit?usp=sharing"",""สิงห์บุรี!M499"")"),0)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IFERROR(__xludf.DUMMYFUNCTION("IMPORTRANGE(""https://docs.google.com/spreadsheets/d/1SX6NBoVAgQJ6U1MVXOaj8PK2l7WJ3RER9xtqwdhxkhw/edit?usp=sharing"",""สิงห์บุรี!M500"")"),4300)</f>
        <v>4300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IFERROR(__xludf.DUMMYFUNCTION("IMPORTRANGE(""https://docs.google.com/spreadsheets/d/1SX6NBoVAgQJ6U1MVXOaj8PK2l7WJ3RER9xtqwdhxkhw/edit?usp=sharing"",""สิงห์บุรี!J502"")"),0)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IFERROR(__xludf.DUMMYFUNCTION("IMPORTRANGE(""https://docs.google.com/spreadsheets/d/1SX6NBoVAgQJ6U1MVXOaj8PK2l7WJ3RER9xtqwdhxkhw/edit?usp=sharing"",""สิงห์บุรี!J503"")"),1)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IFERROR(__xludf.DUMMYFUNCTION("IMPORTRANGE(""https://docs.google.com/spreadsheets/d/1SX6NBoVAgQJ6U1MVXOaj8PK2l7WJ3RER9xtqwdhxkhw/edit?usp=sharing"",""สิงห์บุรี!J166"")"),0)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IFERROR(__xludf.DUMMYFUNCTION("IMPORTRANGE(""https://docs.google.com/spreadsheets/d/1SX6NBoVAgQJ6U1MVXOaj8PK2l7WJ3RER9xtqwdhxkhw/edit?usp=sharing"",""สิงห์บุรี!J166"")"),0)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IFERROR(__xludf.DUMMYFUNCTION("IMPORTRANGE(""https://docs.google.com/spreadsheets/d/1SX6NBoVAgQJ6U1MVXOaj8PK2l7WJ3RER9xtqwdhxkhw/edit?usp=sharing"",""สิงห์บุรี!I506"")"),100)</f>
        <v>100</v>
      </c>
      <c r="J611" s="162">
        <f ca="1">IFERROR(__xludf.DUMMYFUNCTION("IMPORTRANGE(""https://docs.google.com/spreadsheets/d/1SX6NBoVAgQJ6U1MVXOaj8PK2l7WJ3RER9xtqwdhxkhw/edit?usp=sharing"",""สิงห์บุรี!J506"")"),624)</f>
        <v>624</v>
      </c>
      <c r="K611" s="163">
        <f t="shared" ref="K611:K619" ca="1" si="127">IF(I$611&gt;0,J611*100/I$611,0)</f>
        <v>624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IFERROR(__xludf.DUMMYFUNCTION("IMPORTRANGE(""https://docs.google.com/spreadsheets/d/1SX6NBoVAgQJ6U1MVXOaj8PK2l7WJ3RER9xtqwdhxkhw/edit?usp=sharing"",""สิงห์บุรี!I507"")"),0)</f>
        <v>0</v>
      </c>
      <c r="J612" s="198">
        <f ca="1">IFERROR(__xludf.DUMMYFUNCTION("IMPORTRANGE(""https://docs.google.com/spreadsheets/d/1SX6NBoVAgQJ6U1MVXOaj8PK2l7WJ3RER9xtqwdhxkhw/edit?usp=sharing"",""สิงห์บุรี!J507"")"),200)</f>
        <v>200</v>
      </c>
      <c r="K612" s="163">
        <f t="shared" ca="1" si="127"/>
        <v>200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IFERROR(__xludf.DUMMYFUNCTION("IMPORTRANGE(""https://docs.google.com/spreadsheets/d/1SX6NBoVAgQJ6U1MVXOaj8PK2l7WJ3RER9xtqwdhxkhw/edit?usp=sharing"",""สิงห์บุรี!I508"")"),0)</f>
        <v>0</v>
      </c>
      <c r="J613" s="198">
        <f ca="1">IFERROR(__xludf.DUMMYFUNCTION("IMPORTRANGE(""https://docs.google.com/spreadsheets/d/1SX6NBoVAgQJ6U1MVXOaj8PK2l7WJ3RER9xtqwdhxkhw/edit?usp=sharing"",""สิงห์บุรี!J508"")"),1139)</f>
        <v>1139</v>
      </c>
      <c r="K613" s="163">
        <f t="shared" ca="1" si="127"/>
        <v>1139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IFERROR(__xludf.DUMMYFUNCTION("IMPORTRANGE(""https://docs.google.com/spreadsheets/d/1SX6NBoVAgQJ6U1MVXOaj8PK2l7WJ3RER9xtqwdhxkhw/edit?usp=sharing"",""สิงห์บุรี!I509"")"),0)</f>
        <v>0</v>
      </c>
      <c r="J614" s="198">
        <f ca="1">IFERROR(__xludf.DUMMYFUNCTION("IMPORTRANGE(""https://docs.google.com/spreadsheets/d/1SX6NBoVAgQJ6U1MVXOaj8PK2l7WJ3RER9xtqwdhxkhw/edit?usp=sharing"",""สิงห์บุรี!J509"")"),1139)</f>
        <v>1139</v>
      </c>
      <c r="K614" s="163">
        <f t="shared" ca="1" si="127"/>
        <v>1139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IFERROR(__xludf.DUMMYFUNCTION("IMPORTRANGE(""https://docs.google.com/spreadsheets/d/1SX6NBoVAgQJ6U1MVXOaj8PK2l7WJ3RER9xtqwdhxkhw/edit?usp=sharing"",""สิงห์บุรี!I510"")"),0)</f>
        <v>0</v>
      </c>
      <c r="J615" s="198">
        <f ca="1">IFERROR(__xludf.DUMMYFUNCTION("IMPORTRANGE(""https://docs.google.com/spreadsheets/d/1SX6NBoVAgQJ6U1MVXOaj8PK2l7WJ3RER9xtqwdhxkhw/edit?usp=sharing"",""สิงห์บุรี!J510"")"),1016)</f>
        <v>1016</v>
      </c>
      <c r="K615" s="163">
        <f t="shared" ca="1" si="127"/>
        <v>1016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IFERROR(__xludf.DUMMYFUNCTION("IMPORTRANGE(""https://docs.google.com/spreadsheets/d/1SX6NBoVAgQJ6U1MVXOaj8PK2l7WJ3RER9xtqwdhxkhw/edit?usp=sharing"",""สิงห์บุรี!I511"")"),0)</f>
        <v>0</v>
      </c>
      <c r="J616" s="198">
        <f ca="1">IFERROR(__xludf.DUMMYFUNCTION("IMPORTRANGE(""https://docs.google.com/spreadsheets/d/1SX6NBoVAgQJ6U1MVXOaj8PK2l7WJ3RER9xtqwdhxkhw/edit?usp=sharing"",""สิงห์บุรี!J511"")"),1016)</f>
        <v>1016</v>
      </c>
      <c r="K616" s="163">
        <f t="shared" ca="1" si="127"/>
        <v>1016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IFERROR(__xludf.DUMMYFUNCTION("IMPORTRANGE(""https://docs.google.com/spreadsheets/d/1SX6NBoVAgQJ6U1MVXOaj8PK2l7WJ3RER9xtqwdhxkhw/edit?usp=sharing"",""สิงห์บุรี!I512"")"),0)</f>
        <v>0</v>
      </c>
      <c r="J617" s="188">
        <f ca="1">IFERROR(__xludf.DUMMYFUNCTION("IMPORTRANGE(""https://docs.google.com/spreadsheets/d/1SX6NBoVAgQJ6U1MVXOaj8PK2l7WJ3RER9xtqwdhxkhw/edit?usp=sharing"",""สิงห์บุรี!J512"")"),624)</f>
        <v>624</v>
      </c>
      <c r="K617" s="163">
        <f t="shared" ca="1" si="127"/>
        <v>624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IFERROR(__xludf.DUMMYFUNCTION("IMPORTRANGE(""https://docs.google.com/spreadsheets/d/1SX6NBoVAgQJ6U1MVXOaj8PK2l7WJ3RER9xtqwdhxkhw/edit?usp=sharing"",""สิงห์บุรี!I513"")"),0)</f>
        <v>0</v>
      </c>
      <c r="J618" s="189">
        <f ca="1">IFERROR(__xludf.DUMMYFUNCTION("IMPORTRANGE(""https://docs.google.com/spreadsheets/d/1SX6NBoVAgQJ6U1MVXOaj8PK2l7WJ3RER9xtqwdhxkhw/edit?usp=sharing"",""สิงห์บุรี!J513"")"),0)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IFERROR(__xludf.DUMMYFUNCTION("IMPORTRANGE(""https://docs.google.com/spreadsheets/d/1SX6NBoVAgQJ6U1MVXOaj8PK2l7WJ3RER9xtqwdhxkhw/edit?usp=sharing"",""สิงห์บุรี!I514"")"),0)</f>
        <v>0</v>
      </c>
      <c r="J619" s="189">
        <f ca="1">IFERROR(__xludf.DUMMYFUNCTION("IMPORTRANGE(""https://docs.google.com/spreadsheets/d/1SX6NBoVAgQJ6U1MVXOaj8PK2l7WJ3RER9xtqwdhxkhw/edit?usp=sharing"",""สิงห์บุรี!J514"")"),624)</f>
        <v>624</v>
      </c>
      <c r="K619" s="163">
        <f t="shared" ca="1" si="127"/>
        <v>624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IFERROR(__xludf.DUMMYFUNCTION("IMPORTRANGE(""https://docs.google.com/spreadsheets/d/1SX6NBoVAgQJ6U1MVXOaj8PK2l7WJ3RER9xtqwdhxkhw/edit?usp=sharing"",""สิงห์บุรี!I515"")"),925)</f>
        <v>925</v>
      </c>
      <c r="J620" s="203">
        <f ca="1">IFERROR(__xludf.DUMMYFUNCTION("IMPORTRANGE(""https://docs.google.com/spreadsheets/d/1SX6NBoVAgQJ6U1MVXOaj8PK2l7WJ3RER9xtqwdhxkhw/edit?usp=sharing"",""สิงห์บุรี!J515"")"),0)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IFERROR(__xludf.DUMMYFUNCTION("IMPORTRANGE(""https://docs.google.com/spreadsheets/d/1SX6NBoVAgQJ6U1MVXOaj8PK2l7WJ3RER9xtqwdhxkhw/edit?usp=sharing"",""สิงห์บุรี!I516"")"),0)</f>
        <v>0</v>
      </c>
      <c r="J621" s="203">
        <f ca="1">IFERROR(__xludf.DUMMYFUNCTION("IMPORTRANGE(""https://docs.google.com/spreadsheets/d/1SX6NBoVAgQJ6U1MVXOaj8PK2l7WJ3RER9xtqwdhxkhw/edit?usp=sharing"",""สิงห์บุรี!J516"")"),0)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IFERROR(__xludf.DUMMYFUNCTION("IMPORTRANGE(""https://docs.google.com/spreadsheets/d/1SX6NBoVAgQJ6U1MVXOaj8PK2l7WJ3RER9xtqwdhxkhw/edit?usp=sharing"",""สิงห์บุรี!I517"")"),0)</f>
        <v>0</v>
      </c>
      <c r="J622" s="189">
        <f ca="1">IFERROR(__xludf.DUMMYFUNCTION("IMPORTRANGE(""https://docs.google.com/spreadsheets/d/1SX6NBoVAgQJ6U1MVXOaj8PK2l7WJ3RER9xtqwdhxkhw/edit?usp=sharing"",""สิงห์บุรี!J517"")"),0)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IFERROR(__xludf.DUMMYFUNCTION("IMPORTRANGE(""https://docs.google.com/spreadsheets/d/1SX6NBoVAgQJ6U1MVXOaj8PK2l7WJ3RER9xtqwdhxkhw/edit?usp=sharing"",""สิงห์บุรี!I518"")"),0)</f>
        <v>0</v>
      </c>
      <c r="J623" s="189">
        <f ca="1">IFERROR(__xludf.DUMMYFUNCTION("IMPORTRANGE(""https://docs.google.com/spreadsheets/d/1SX6NBoVAgQJ6U1MVXOaj8PK2l7WJ3RER9xtqwdhxkhw/edit?usp=sharing"",""สิงห์บุรี!J518"")"),0)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IFERROR(__xludf.DUMMYFUNCTION("IMPORTRANGE(""https://docs.google.com/spreadsheets/d/1SX6NBoVAgQJ6U1MVXOaj8PK2l7WJ3RER9xtqwdhxkhw/edit?usp=sharing"",""สิงห์บุรี!I519"")"),0)</f>
        <v>0</v>
      </c>
      <c r="J624" s="188">
        <f ca="1">IFERROR(__xludf.DUMMYFUNCTION("IMPORTRANGE(""https://docs.google.com/spreadsheets/d/1SX6NBoVAgQJ6U1MVXOaj8PK2l7WJ3RER9xtqwdhxkhw/edit?usp=sharing"",""สิงห์บุรี!J519"")"),0)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IFERROR(__xludf.DUMMYFUNCTION("IMPORTRANGE(""https://docs.google.com/spreadsheets/d/1SX6NBoVAgQJ6U1MVXOaj8PK2l7WJ3RER9xtqwdhxkhw/edit?usp=sharing"",""สิงห์บุรี!I520"")"),0)</f>
        <v>0</v>
      </c>
      <c r="J625" s="189">
        <f ca="1">IFERROR(__xludf.DUMMYFUNCTION("IMPORTRANGE(""https://docs.google.com/spreadsheets/d/1SX6NBoVAgQJ6U1MVXOaj8PK2l7WJ3RER9xtqwdhxkhw/edit?usp=sharing"",""สิงห์บุรี!J520"")"),0)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IFERROR(__xludf.DUMMYFUNCTION("IMPORTRANGE(""https://docs.google.com/spreadsheets/d/1SX6NBoVAgQJ6U1MVXOaj8PK2l7WJ3RER9xtqwdhxkhw/edit?usp=sharing"",""สิงห์บุรี!I521"")"),0)</f>
        <v>0</v>
      </c>
      <c r="J626" s="189">
        <f ca="1">IFERROR(__xludf.DUMMYFUNCTION("IMPORTRANGE(""https://docs.google.com/spreadsheets/d/1SX6NBoVAgQJ6U1MVXOaj8PK2l7WJ3RER9xtqwdhxkhw/edit?usp=sharing"",""สิงห์บุรี!J521"")"),0)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IFERROR(__xludf.DUMMYFUNCTION("IMPORTRANGE(""https://docs.google.com/spreadsheets/d/1SX6NBoVAgQJ6U1MVXOaj8PK2l7WJ3RER9xtqwdhxkhw/edit?usp=sharing"",""สิงห์บุรี!I523"")"),520000)</f>
        <v>520000</v>
      </c>
      <c r="J628" s="342">
        <f ca="1">IFERROR(__xludf.DUMMYFUNCTION("IMPORTRANGE(""https://docs.google.com/spreadsheets/d/1SX6NBoVAgQJ6U1MVXOaj8PK2l7WJ3RER9xtqwdhxkhw/edit?usp=sharing"",""สิงห์บุรี!J523"")"),520000)</f>
        <v>520000</v>
      </c>
      <c r="K628" s="343">
        <f t="shared" ref="K628:K635" ca="1" si="129">IF(I628&gt;0,J628*100/I628,0)</f>
        <v>100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IFERROR(__xludf.DUMMYFUNCTION("IMPORTRANGE(""https://docs.google.com/spreadsheets/d/1SX6NBoVAgQJ6U1MVXOaj8PK2l7WJ3RER9xtqwdhxkhw/edit?usp=sharing"",""สิงห์บุรี!I524"")"),18)</f>
        <v>18</v>
      </c>
      <c r="J629" s="342">
        <f ca="1">IFERROR(__xludf.DUMMYFUNCTION("IMPORTRANGE(""https://docs.google.com/spreadsheets/d/1SX6NBoVAgQJ6U1MVXOaj8PK2l7WJ3RER9xtqwdhxkhw/edit?usp=sharing"",""สิงห์บุรี!J524"")"),18)</f>
        <v>18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IFERROR(__xludf.DUMMYFUNCTION("IMPORTRANGE(""https://docs.google.com/spreadsheets/d/1SX6NBoVAgQJ6U1MVXOaj8PK2l7WJ3RER9xtqwdhxkhw/edit?usp=sharing"",""สิงห์บุรี!I525"")"),0)</f>
        <v>0</v>
      </c>
      <c r="J630" s="342">
        <f ca="1">IFERROR(__xludf.DUMMYFUNCTION("IMPORTRANGE(""https://docs.google.com/spreadsheets/d/1SX6NBoVAgQJ6U1MVXOaj8PK2l7WJ3RER9xtqwdhxkhw/edit?usp=sharing"",""สิงห์บุรี!J525"")"),0)</f>
        <v>0</v>
      </c>
      <c r="K630" s="343">
        <f t="shared" ca="1" si="129"/>
        <v>0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IFERROR(__xludf.DUMMYFUNCTION("IMPORTRANGE(""https://docs.google.com/spreadsheets/d/1SX6NBoVAgQJ6U1MVXOaj8PK2l7WJ3RER9xtqwdhxkhw/edit?usp=sharing"",""สิงห์บุรี!I526"")"),0)</f>
        <v>0</v>
      </c>
      <c r="J631" s="342">
        <f ca="1">IFERROR(__xludf.DUMMYFUNCTION("IMPORTRANGE(""https://docs.google.com/spreadsheets/d/1SX6NBoVAgQJ6U1MVXOaj8PK2l7WJ3RER9xtqwdhxkhw/edit?usp=sharing"",""สิงห์บุรี!J526"")"),0)</f>
        <v>0</v>
      </c>
      <c r="K631" s="343">
        <f t="shared" ca="1" si="129"/>
        <v>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2">
        <f ca="1">IFERROR(__xludf.DUMMYFUNCTION("IMPORTRANGE(""https://docs.google.com/spreadsheets/d/1SX6NBoVAgQJ6U1MVXOaj8PK2l7WJ3RER9xtqwdhxkhw/edit?usp=sharing"",""สิงห์บุรี!J527"")"),59637.26)</f>
        <v>59637.26</v>
      </c>
      <c r="K632" s="343">
        <f t="shared" ca="1" si="129"/>
        <v>85.890634192639197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IFERROR(__xludf.DUMMYFUNCTION("IMPORTRANGE(""https://docs.google.com/spreadsheets/d/1SX6NBoVAgQJ6U1MVXOaj8PK2l7WJ3RER9xtqwdhxkhw/edit?usp=sharing"",""สิงห์บุรี!I528"")"),25)</f>
        <v>25</v>
      </c>
      <c r="J633" s="342">
        <f ca="1">IFERROR(__xludf.DUMMYFUNCTION("IMPORTRANGE(""https://docs.google.com/spreadsheets/d/1SX6NBoVAgQJ6U1MVXOaj8PK2l7WJ3RER9xtqwdhxkhw/edit?usp=sharing"",""สิงห์บุรี!J528"")"),24)</f>
        <v>24</v>
      </c>
      <c r="K633" s="343">
        <f t="shared" ca="1" si="129"/>
        <v>96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IFERROR(__xludf.DUMMYFUNCTION("IMPORTRANGE(""https://docs.google.com/spreadsheets/d/1SX6NBoVAgQJ6U1MVXOaj8PK2l7WJ3RER9xtqwdhxkhw/edit?usp=sharing"",""สิงห์บุรี!I529"")"),580000)</f>
        <v>580000</v>
      </c>
      <c r="J634" s="342">
        <f ca="1">IFERROR(__xludf.DUMMYFUNCTION("IMPORTRANGE(""https://docs.google.com/spreadsheets/d/1SX6NBoVAgQJ6U1MVXOaj8PK2l7WJ3RER9xtqwdhxkhw/edit?usp=sharing"",""สิงห์บุรี!J529"")"),520000)</f>
        <v>520000</v>
      </c>
      <c r="K634" s="343">
        <f t="shared" ca="1" si="129"/>
        <v>89.65517241379311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IFERROR(__xludf.DUMMYFUNCTION("IMPORTRANGE(""https://docs.google.com/spreadsheets/d/1SX6NBoVAgQJ6U1MVXOaj8PK2l7WJ3RER9xtqwdhxkhw/edit?usp=sharing"",""สิงห์บุรี!I530"")"),22)</f>
        <v>22</v>
      </c>
      <c r="J635" s="505">
        <f ca="1">IFERROR(__xludf.DUMMYFUNCTION("IMPORTRANGE(""https://docs.google.com/spreadsheets/d/1SX6NBoVAgQJ6U1MVXOaj8PK2l7WJ3RER9xtqwdhxkhw/edit?usp=sharing"",""สิงห์บุรี!J530"")"),17)</f>
        <v>17</v>
      </c>
      <c r="K635" s="487">
        <f t="shared" ca="1" si="129"/>
        <v>77.272727272727266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3000</v>
      </c>
      <c r="M636" s="512"/>
      <c r="N636" s="511">
        <f ca="1">SUM(N637:N638)</f>
        <v>1330</v>
      </c>
      <c r="O636" s="511">
        <f t="shared" ref="O636:O640" ca="1" si="130">+IF(L636&gt;0,N636*100/L636,0)</f>
        <v>44.333333333333336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3000</v>
      </c>
      <c r="M638" s="522"/>
      <c r="N638" s="523">
        <f ca="1">SUM(N639:N640)</f>
        <v>1330</v>
      </c>
      <c r="O638" s="523">
        <f t="shared" ca="1" si="130"/>
        <v>44.333333333333336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3000</v>
      </c>
      <c r="M640" s="522"/>
      <c r="N640" s="523">
        <f ca="1">SUM(N641:N644)</f>
        <v>1330</v>
      </c>
      <c r="O640" s="523">
        <f t="shared" ca="1" si="130"/>
        <v>44.333333333333336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1330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IFERROR(__xludf.DUMMYFUNCTION("IMPORTRANGE(""https://docs.google.com/spreadsheets/d/1SX6NBoVAgQJ6U1MVXOaj8PK2l7WJ3RER9xtqwdhxkhw/edit#gid=346597447"",""สิงห์บุรี!J541"")"),0)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IFERROR(__xludf.DUMMYFUNCTION("IMPORTRANGE(""https://docs.google.com/spreadsheets/d/1SX6NBoVAgQJ6U1MVXOaj8PK2l7WJ3RER9xtqwdhxkhw/edit#gid=346597447"",""สิงห์บุรี!J542"")"),0)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IFERROR(__xludf.DUMMYFUNCTION("IMPORTRANGE(""https://docs.google.com/spreadsheets/d/1SX6NBoVAgQJ6U1MVXOaj8PK2l7WJ3RER9xtqwdhxkhw/edit#gid=346597447"",""สิงห์บุรี!I543"")"),0)</f>
        <v>0</v>
      </c>
      <c r="J648" s="537">
        <f ca="1">IFERROR(__xludf.DUMMYFUNCTION("IMPORTRANGE(""https://docs.google.com/spreadsheets/d/1SX6NBoVAgQJ6U1MVXOaj8PK2l7WJ3RER9xtqwdhxkhw/edit#gid=346597447"",""สิงห์บุรี!J543"")"),0)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IFERROR(__xludf.DUMMYFUNCTION("IMPORTRANGE(""https://docs.google.com/spreadsheets/d/1SX6NBoVAgQJ6U1MVXOaj8PK2l7WJ3RER9xtqwdhxkhw/edit#gid=346597447"",""สิงห์บุรี!L543"")"),0)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IFERROR(__xludf.DUMMYFUNCTION("IMPORTRANGE(""https://docs.google.com/spreadsheets/d/1SX6NBoVAgQJ6U1MVXOaj8PK2l7WJ3RER9xtqwdhxkhw/edit#gid=346597447"",""สิงห์บุรี!M543"")"),0)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IFERROR(__xludf.DUMMYFUNCTION("IMPORTRANGE(""https://docs.google.com/spreadsheets/d/1SX6NBoVAgQJ6U1MVXOaj8PK2l7WJ3RER9xtqwdhxkhw/edit#gid=346597447"",""สิงห์บุรี!I544"")"),0)</f>
        <v>0</v>
      </c>
      <c r="J649" s="537">
        <f ca="1">IFERROR(__xludf.DUMMYFUNCTION("IMPORTRANGE(""https://docs.google.com/spreadsheets/d/1SX6NBoVAgQJ6U1MVXOaj8PK2l7WJ3RER9xtqwdhxkhw/edit#gid=346597447"",""สิงห์บุรี!J544"")"),0)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IFERROR(__xludf.DUMMYFUNCTION("IMPORTRANGE(""https://docs.google.com/spreadsheets/d/1SX6NBoVAgQJ6U1MVXOaj8PK2l7WJ3RER9xtqwdhxkhw/edit#gid=346597447"",""สิงห์บุรี!L544"")"),0)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IFERROR(__xludf.DUMMYFUNCTION("IMPORTRANGE(""https://docs.google.com/spreadsheets/d/1SX6NBoVAgQJ6U1MVXOaj8PK2l7WJ3RER9xtqwdhxkhw/edit#gid=346597447"",""สิงห์บุรี!M544"")"),0)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IFERROR(__xludf.DUMMYFUNCTION("IMPORTRANGE(""https://docs.google.com/spreadsheets/d/1SX6NBoVAgQJ6U1MVXOaj8PK2l7WJ3RER9xtqwdhxkhw/edit#gid=346597447"",""สิงห์บุรี!I545"")"),0)</f>
        <v>0</v>
      </c>
      <c r="J650" s="537">
        <f ca="1">IFERROR(__xludf.DUMMYFUNCTION("IMPORTRANGE(""https://docs.google.com/spreadsheets/d/1SX6NBoVAgQJ6U1MVXOaj8PK2l7WJ3RER9xtqwdhxkhw/edit#gid=346597447"",""สิงห์บุรี!J545"")"),0)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IFERROR(__xludf.DUMMYFUNCTION("IMPORTRANGE(""https://docs.google.com/spreadsheets/d/1SX6NBoVAgQJ6U1MVXOaj8PK2l7WJ3RER9xtqwdhxkhw/edit#gid=346597447"",""สิงห์บุรี!L545"")"),0)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IFERROR(__xludf.DUMMYFUNCTION("IMPORTRANGE(""https://docs.google.com/spreadsheets/d/1SX6NBoVAgQJ6U1MVXOaj8PK2l7WJ3RER9xtqwdhxkhw/edit#gid=346597447"",""สิงห์บุรี!M545"")"),0)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IFERROR(__xludf.DUMMYFUNCTION("IMPORTRANGE(""https://docs.google.com/spreadsheets/d/1SX6NBoVAgQJ6U1MVXOaj8PK2l7WJ3RER9xtqwdhxkhw/edit#gid=346597447"",""สิงห์บุรี!I546"")"),0)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IFERROR(__xludf.DUMMYFUNCTION("IMPORTRANGE(""https://docs.google.com/spreadsheets/d/1SX6NBoVAgQJ6U1MVXOaj8PK2l7WJ3RER9xtqwdhxkhw/edit#gid=346597447"",""สิงห์บุรี!L546"")"),0)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IFERROR(__xludf.DUMMYFUNCTION("IMPORTRANGE(""https://docs.google.com/spreadsheets/d/1SX6NBoVAgQJ6U1MVXOaj8PK2l7WJ3RER9xtqwdhxkhw/edit#gid=346597447"",""สิงห์บุรี!M546"")"),0)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IFERROR(__xludf.DUMMYFUNCTION("IMPORTRANGE(""https://docs.google.com/spreadsheets/d/1SX6NBoVAgQJ6U1MVXOaj8PK2l7WJ3RER9xtqwdhxkhw/edit#gid=346597447"",""สิงห์บุรี!J547"")"),0)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IFERROR(__xludf.DUMMYFUNCTION("IMPORTRANGE(""https://docs.google.com/spreadsheets/d/1SX6NBoVAgQJ6U1MVXOaj8PK2l7WJ3RER9xtqwdhxkhw/edit#gid=346597447"",""สิงห์บุรี!J548"")"),0)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IFERROR(__xludf.DUMMYFUNCTION("IMPORTRANGE(""https://docs.google.com/spreadsheets/d/1SX6NBoVAgQJ6U1MVXOaj8PK2l7WJ3RER9xtqwdhxkhw/edit#gid=346597447"",""สิงห์บุรี!J550"")"),0)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IFERROR(__xludf.DUMMYFUNCTION("IMPORTRANGE(""https://docs.google.com/spreadsheets/d/1SX6NBoVAgQJ6U1MVXOaj8PK2l7WJ3RER9xtqwdhxkhw/edit#gid=346597447"",""สิงห์บุรี!J551"")"),0)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IFERROR(__xludf.DUMMYFUNCTION("IMPORTRANGE(""https://docs.google.com/spreadsheets/d/1SX6NBoVAgQJ6U1MVXOaj8PK2l7WJ3RER9xtqwdhxkhw/edit#gid=346597447"",""สิงห์บุรี!J552"")"),0)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IFERROR(__xludf.DUMMYFUNCTION("IMPORTRANGE(""https://docs.google.com/spreadsheets/d/1SX6NBoVAgQJ6U1MVXOaj8PK2l7WJ3RER9xtqwdhxkhw/edit#gid=346597447"",""สิงห์บุรี!J553"")"),0)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IFERROR(__xludf.DUMMYFUNCTION("IMPORTRANGE(""https://docs.google.com/spreadsheets/d/1SX6NBoVAgQJ6U1MVXOaj8PK2l7WJ3RER9xtqwdhxkhw/edit#gid=346597447"",""สิงห์บุรี!J554"")"),0)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IFERROR(__xludf.DUMMYFUNCTION("IMPORTRANGE(""https://docs.google.com/spreadsheets/d/1SX6NBoVAgQJ6U1MVXOaj8PK2l7WJ3RER9xtqwdhxkhw/edit#gid=346597447"",""สิงห์บุรี!J555"")"),0)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IFERROR(__xludf.DUMMYFUNCTION("IMPORTRANGE(""https://docs.google.com/spreadsheets/d/1SX6NBoVAgQJ6U1MVXOaj8PK2l7WJ3RER9xtqwdhxkhw/edit#gid=346597447"",""สิงห์บุรี!J556"")"),0)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IFERROR(__xludf.DUMMYFUNCTION("IMPORTRANGE(""https://docs.google.com/spreadsheets/d/1SX6NBoVAgQJ6U1MVXOaj8PK2l7WJ3RER9xtqwdhxkhw/edit#gid=346597447"",""สิงห์บุรี!L556"")"),2880)</f>
        <v>2880</v>
      </c>
      <c r="M661" s="522"/>
      <c r="N661" s="539">
        <f ca="1">IFERROR(__xludf.DUMMYFUNCTION("IMPORTRANGE(""https://docs.google.com/spreadsheets/d/1SX6NBoVAgQJ6U1MVXOaj8PK2l7WJ3RER9xtqwdhxkhw/edit#gid=346597447"",""สิงห์บุรี!M556"")"),1330)</f>
        <v>1330</v>
      </c>
      <c r="O661" s="538">
        <f ca="1">IF(L661&gt;0,N661*100/L661,0)</f>
        <v>46.180555555555557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IFERROR(__xludf.DUMMYFUNCTION("IMPORTRANGE(""https://docs.google.com/spreadsheets/d/1SX6NBoVAgQJ6U1MVXOaj8PK2l7WJ3RER9xtqwdhxkhw/edit#gid=346597447"",""สิงห์บุรี!J557"")"),0)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IFERROR(__xludf.DUMMYFUNCTION("IMPORTRANGE(""https://docs.google.com/spreadsheets/d/1SX6NBoVAgQJ6U1MVXOaj8PK2l7WJ3RER9xtqwdhxkhw/edit#gid=346597447"",""สิงห์บุรี!I558"")"),72)</f>
        <v>72</v>
      </c>
      <c r="J663" s="537">
        <f ca="1">IFERROR(__xludf.DUMMYFUNCTION("IMPORTRANGE(""https://docs.google.com/spreadsheets/d/1SX6NBoVAgQJ6U1MVXOaj8PK2l7WJ3RER9xtqwdhxkhw/edit#gid=346597447"",""สิงห์บุรี!J558"")"),0)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IFERROR(__xludf.DUMMYFUNCTION("IMPORTRANGE(""https://docs.google.com/spreadsheets/d/1SX6NBoVAgQJ6U1MVXOaj8PK2l7WJ3RER9xtqwdhxkhw/edit#gid=346597447"",""สิงห์บุรี!I560"")"),1)</f>
        <v>1</v>
      </c>
      <c r="J665" s="537">
        <f ca="1">IFERROR(__xludf.DUMMYFUNCTION("IMPORTRANGE(""https://docs.google.com/spreadsheets/d/1SX6NBoVAgQJ6U1MVXOaj8PK2l7WJ3RER9xtqwdhxkhw/edit#gid=346597447"",""สิงห์บุรี!J560"")"),0)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IFERROR(__xludf.DUMMYFUNCTION("IMPORTRANGE(""https://docs.google.com/spreadsheets/d/1SX6NBoVAgQJ6U1MVXOaj8PK2l7WJ3RER9xtqwdhxkhw/edit#gid=346597447"",""สิงห์บุรี!L560"")"),120)</f>
        <v>120</v>
      </c>
      <c r="M665" s="522"/>
      <c r="N665" s="539">
        <f ca="1">IFERROR(__xludf.DUMMYFUNCTION("IMPORTRANGE(""https://docs.google.com/spreadsheets/d/1SX6NBoVAgQJ6U1MVXOaj8PK2l7WJ3RER9xtqwdhxkhw/edit#gid=346597447"",""สิงห์บุรี!M560"")"),0)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IFERROR(__xludf.DUMMYFUNCTION("IMPORTRANGE(""https://docs.google.com/spreadsheets/d/1SX6NBoVAgQJ6U1MVXOaj8PK2l7WJ3RER9xtqwdhxkhw/edit#gid=346597447"",""สิงห์บุรี!J561"")"),0)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IFERROR(__xludf.DUMMYFUNCTION("IMPORTRANGE(""https://docs.google.com/spreadsheets/d/1SX6NBoVAgQJ6U1MVXOaj8PK2l7WJ3RER9xtqwdhxkhw/edit#gid=346597447"",""สิงห์บุรี!J562"")"),0)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IFERROR(__xludf.DUMMYFUNCTION("IMPORTRANGE(""https://docs.google.com/spreadsheets/d/1SX6NBoVAgQJ6U1MVXOaj8PK2l7WJ3RER9xtqwdhxkhw/edit#gid=346597447"",""สิงห์บุรี!I563"")"),0)</f>
        <v>0</v>
      </c>
      <c r="J668" s="537">
        <f ca="1">IFERROR(__xludf.DUMMYFUNCTION("IMPORTRANGE(""https://docs.google.com/spreadsheets/d/1SX6NBoVAgQJ6U1MVXOaj8PK2l7WJ3RER9xtqwdhxkhw/edit#gid=346597447"",""สิงห์บุรี!J563"")"),0)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IFERROR(__xludf.DUMMYFUNCTION("IMPORTRANGE(""https://docs.google.com/spreadsheets/d/1SX6NBoVAgQJ6U1MVXOaj8PK2l7WJ3RER9xtqwdhxkhw/edit#gid=346597447"",""สิงห์บุรี!L563"")"),0)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IFERROR(__xludf.DUMMYFUNCTION("IMPORTRANGE(""https://docs.google.com/spreadsheets/d/1SX6NBoVAgQJ6U1MVXOaj8PK2l7WJ3RER9xtqwdhxkhw/edit#gid=346597447"",""สิงห์บุรี!M563"")"),0)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IFERROR(__xludf.DUMMYFUNCTION("IMPORTRANGE(""https://docs.google.com/spreadsheets/d/1SX6NBoVAgQJ6U1MVXOaj8PK2l7WJ3RER9xtqwdhxkhw/edit#gid=346597447"",""สิงห์บุรี!J564"")"),0)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IFERROR(__xludf.DUMMYFUNCTION("IMPORTRANGE(""https://docs.google.com/spreadsheets/d/1SX6NBoVAgQJ6U1MVXOaj8PK2l7WJ3RER9xtqwdhxkhw/edit#gid=346597447"",""สิงห์บุรี!J565"")"),0)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IFERROR(__xludf.DUMMYFUNCTION("IMPORTRANGE(""https://docs.google.com/spreadsheets/d/1SX6NBoVAgQJ6U1MVXOaj8PK2l7WJ3RER9xtqwdhxkhw/edit#gid=346597447"",""สิงห์บุรี!I566"")"),0)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IFERROR(__xludf.DUMMYFUNCTION("IMPORTRANGE(""https://docs.google.com/spreadsheets/d/1SX6NBoVAgQJ6U1MVXOaj8PK2l7WJ3RER9xtqwdhxkhw/edit#gid=346597447"",""สิงห์บุรี!L566"")"),0)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IFERROR(__xludf.DUMMYFUNCTION("IMPORTRANGE(""https://docs.google.com/spreadsheets/d/1SX6NBoVAgQJ6U1MVXOaj8PK2l7WJ3RER9xtqwdhxkhw/edit#gid=346597447"",""สิงห์บุรี!M566"")"),0)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IFERROR(__xludf.DUMMYFUNCTION("IMPORTRANGE(""https://docs.google.com/spreadsheets/d/1SX6NBoVAgQJ6U1MVXOaj8PK2l7WJ3RER9xtqwdhxkhw/edit#gid=346597447"",""สิงห์บุรี!J567"")"),0)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IFERROR(__xludf.DUMMYFUNCTION("IMPORTRANGE(""https://docs.google.com/spreadsheets/d/1SX6NBoVAgQJ6U1MVXOaj8PK2l7WJ3RER9xtqwdhxkhw/edit#gid=346597447"",""สิงห์บุรี!J568"")"),0)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IFERROR(__xludf.DUMMYFUNCTION("IMPORTRANGE(""https://docs.google.com/spreadsheets/d/1SX6NBoVAgQJ6U1MVXOaj8PK2l7WJ3RER9xtqwdhxkhw/edit#gid=346597447"",""สิงห์บุรี!J569"")"),0)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IFERROR(__xludf.DUMMYFUNCTION("IMPORTRANGE(""https://docs.google.com/spreadsheets/d/1SX6NBoVAgQJ6U1MVXOaj8PK2l7WJ3RER9xtqwdhxkhw/edit#gid=346597447"",""สิงห์บุรี!J570"")"),0)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IFERROR(__xludf.DUMMYFUNCTION("IMPORTRANGE(""https://docs.google.com/spreadsheets/d/1SX6NBoVAgQJ6U1MVXOaj8PK2l7WJ3RER9xtqwdhxkhw/edit#gid=346597447"",""สิงห์บุรี!J571"")"),0)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IFERROR(__xludf.DUMMYFUNCTION("IMPORTRANGE(""https://docs.google.com/spreadsheets/d/1SX6NBoVAgQJ6U1MVXOaj8PK2l7WJ3RER9xtqwdhxkhw/edit#gid=346597447"",""สิงห์บุรี!J572"")"),0)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298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7337250</v>
      </c>
      <c r="M8" s="23">
        <f t="shared" ca="1" si="0"/>
        <v>4758466</v>
      </c>
      <c r="N8" s="23">
        <f t="shared" ca="1" si="0"/>
        <v>5643876.1999999993</v>
      </c>
      <c r="O8" s="22">
        <f t="shared" ref="O8:O16" ca="1" si="1">IF(L8&gt;0,N8*100/L8,0)</f>
        <v>76.920865446863587</v>
      </c>
      <c r="P8" s="22">
        <f t="shared" ref="P8:P16" ca="1" si="2">IF(M8&gt;0,N8*100/M8,0)</f>
        <v>118.60705109587835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7337250</v>
      </c>
      <c r="M10" s="30">
        <f t="shared" ca="1" si="4"/>
        <v>4758466</v>
      </c>
      <c r="N10" s="30">
        <f t="shared" ca="1" si="4"/>
        <v>5643876.1999999993</v>
      </c>
      <c r="O10" s="29">
        <f t="shared" ca="1" si="1"/>
        <v>76.920865446863587</v>
      </c>
      <c r="P10" s="29">
        <f t="shared" ca="1" si="2"/>
        <v>118.60705109587835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6356250</v>
      </c>
      <c r="M12" s="38">
        <f t="shared" ca="1" si="6"/>
        <v>3825466</v>
      </c>
      <c r="N12" s="38">
        <f t="shared" ca="1" si="6"/>
        <v>4662876.1999999993</v>
      </c>
      <c r="O12" s="38">
        <f t="shared" ca="1" si="1"/>
        <v>73.358917600786612</v>
      </c>
      <c r="P12" s="38">
        <f t="shared" ca="1" si="2"/>
        <v>121.89041021407587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2351700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4004550</v>
      </c>
      <c r="M14" s="38">
        <f t="shared" si="8"/>
        <v>0</v>
      </c>
      <c r="N14" s="38">
        <f t="shared" ca="1" si="8"/>
        <v>1549382.129999999</v>
      </c>
      <c r="O14" s="38">
        <f t="shared" ca="1" si="1"/>
        <v>38.690542757613187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981000</v>
      </c>
      <c r="M16" s="38">
        <f t="shared" ca="1" si="10"/>
        <v>933000</v>
      </c>
      <c r="N16" s="38">
        <f t="shared" ca="1" si="10"/>
        <v>981000</v>
      </c>
      <c r="O16" s="49">
        <f t="shared" ca="1" si="1"/>
        <v>100</v>
      </c>
      <c r="P16" s="49">
        <f t="shared" ca="1" si="2"/>
        <v>105.14469453376206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4736555</v>
      </c>
      <c r="M18" s="23">
        <f t="shared" ca="1" si="11"/>
        <v>4758466</v>
      </c>
      <c r="N18" s="23">
        <f t="shared" ca="1" si="11"/>
        <v>4094494.0700000003</v>
      </c>
      <c r="O18" s="22">
        <f t="shared" ref="O18:O20" ca="1" si="12">IF(L18&gt;0,N18*100/L18,0)</f>
        <v>86.444558756311281</v>
      </c>
      <c r="P18" s="22">
        <f t="shared" ref="P18:P26" ca="1" si="13">IF(M18&gt;0,N18*100/M18,0)</f>
        <v>86.046513098969285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4736555</v>
      </c>
      <c r="M20" s="30">
        <f t="shared" ca="1" si="15"/>
        <v>4758466</v>
      </c>
      <c r="N20" s="30">
        <f t="shared" ca="1" si="15"/>
        <v>4094494.0700000003</v>
      </c>
      <c r="O20" s="29">
        <f t="shared" ca="1" si="12"/>
        <v>86.444558756311281</v>
      </c>
      <c r="P20" s="29">
        <f t="shared" ca="1" si="13"/>
        <v>86.046513098969285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3755555</v>
      </c>
      <c r="M22" s="41">
        <f t="shared" ca="1" si="18"/>
        <v>3825466</v>
      </c>
      <c r="N22" s="38">
        <f t="shared" ca="1" si="18"/>
        <v>3113494.0700000003</v>
      </c>
      <c r="O22" s="38">
        <f t="shared" ca="1" si="17"/>
        <v>82.903700518298891</v>
      </c>
      <c r="P22" s="38">
        <f t="shared" ca="1" si="13"/>
        <v>81.388622196616041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2351700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1403855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981000</v>
      </c>
      <c r="M26" s="49">
        <f t="shared" ca="1" si="22"/>
        <v>933000</v>
      </c>
      <c r="N26" s="49">
        <f t="shared" ca="1" si="22"/>
        <v>981000</v>
      </c>
      <c r="O26" s="49">
        <f t="shared" ca="1" si="17"/>
        <v>100</v>
      </c>
      <c r="P26" s="49">
        <f t="shared" ca="1" si="13"/>
        <v>105.14469453376206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2600695</v>
      </c>
      <c r="M28" s="23">
        <f t="shared" si="23"/>
        <v>0</v>
      </c>
      <c r="N28" s="23">
        <f t="shared" ca="1" si="23"/>
        <v>1549382.129999999</v>
      </c>
      <c r="O28" s="22">
        <f t="shared" ref="O28:O30" ca="1" si="24">IF(L28&gt;0,N28*100/L28,0)</f>
        <v>59.575695342975585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2600695</v>
      </c>
      <c r="M30" s="30">
        <f t="shared" si="27"/>
        <v>0</v>
      </c>
      <c r="N30" s="30">
        <f t="shared" ca="1" si="27"/>
        <v>1549382.129999999</v>
      </c>
      <c r="O30" s="29">
        <f t="shared" ca="1" si="24"/>
        <v>59.575695342975585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2600695</v>
      </c>
      <c r="M32" s="38">
        <f t="shared" si="30"/>
        <v>0</v>
      </c>
      <c r="N32" s="38">
        <f t="shared" ca="1" si="30"/>
        <v>1549382.129999999</v>
      </c>
      <c r="O32" s="38">
        <f t="shared" ca="1" si="29"/>
        <v>59.575695342975585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2600695</v>
      </c>
      <c r="M34" s="38">
        <f t="shared" si="32"/>
        <v>0</v>
      </c>
      <c r="N34" s="38">
        <f t="shared" ca="1" si="32"/>
        <v>1549382.129999999</v>
      </c>
      <c r="O34" s="38">
        <f t="shared" ca="1" si="29"/>
        <v>59.575695342975585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4736555</v>
      </c>
      <c r="M37" s="54">
        <f t="shared" ca="1" si="33"/>
        <v>4758466</v>
      </c>
      <c r="N37" s="54">
        <f t="shared" ca="1" si="33"/>
        <v>4094494.0700000003</v>
      </c>
      <c r="O37" s="55">
        <f t="shared" ca="1" si="29"/>
        <v>86.444558756311281</v>
      </c>
      <c r="P37" s="55">
        <f t="shared" ca="1" si="25"/>
        <v>86.046513098969285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899300</v>
      </c>
      <c r="M41" s="78">
        <f t="shared" ca="1" si="34"/>
        <v>851300</v>
      </c>
      <c r="N41" s="78">
        <f t="shared" ca="1" si="34"/>
        <v>788438.99</v>
      </c>
      <c r="O41" s="77">
        <f t="shared" ref="O41:O43" ca="1" si="35">IF(L41&gt;0,N41*100/L41,0)</f>
        <v>87.672521961525632</v>
      </c>
      <c r="P41" s="77">
        <f t="shared" ref="P41:P43" ca="1" si="36">IF(M41&gt;0,N41*100/M41,0)</f>
        <v>92.615880418183949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899300</v>
      </c>
      <c r="M43" s="78">
        <f t="shared" ca="1" si="38"/>
        <v>851300</v>
      </c>
      <c r="N43" s="78">
        <f t="shared" ca="1" si="38"/>
        <v>788438.99</v>
      </c>
      <c r="O43" s="77">
        <f t="shared" ca="1" si="35"/>
        <v>87.672521961525632</v>
      </c>
      <c r="P43" s="77">
        <f t="shared" ca="1" si="36"/>
        <v>92.615880418183949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851300</v>
      </c>
      <c r="M45" s="49">
        <f ca="1">IFERROR(__xludf.DUMMYFUNCTION("IMPORTRANGE(""https://docs.google.com/spreadsheets/d/1Yj_ptqi66GCucihVvJfMjLAmec39IyEx_6qawtMGysU/edit?usp=sharing"",""สบก!Q78"")"),851300)</f>
        <v>851300</v>
      </c>
      <c r="N45" s="49">
        <f ca="1">IFERROR(__xludf.DUMMYFUNCTION("IMPORTRANGE(""https://docs.google.com/spreadsheets/d/1Yj_ptqi66GCucihVvJfMjLAmec39IyEx_6qawtMGysU/edit?usp=sharing"",""สบก!R78"")"),740438.99)</f>
        <v>740438.99</v>
      </c>
      <c r="O45" s="38">
        <f ca="1">IF(L45&gt;0,N45*100/L45,0)</f>
        <v>86.977445083989195</v>
      </c>
      <c r="P45" s="38">
        <f ca="1">IF(M45&gt;0,N45*100/M45,0)</f>
        <v>86.977445083989195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IFERROR(__xludf.DUMMYFUNCTION("IMPORTRANGE(""https://docs.google.com/spreadsheets/d/1Yj_ptqi66GCucihVvJfMjLAmec39IyEx_6qawtMGysU/edit?usp=sharing"",""สบก!M78"")"),851300)</f>
        <v>851300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IFERROR(__xludf.DUMMYFUNCTION("IMPORTRANGE(""https://docs.google.com/spreadsheets/d/1Yj_ptqi66GCucihVvJfMjLAmec39IyEx_6qawtMGysU/edit?usp=sharing"",""สบก!O78"")"),48000)</f>
        <v>48000</v>
      </c>
      <c r="M49" s="49"/>
      <c r="N49" s="49">
        <f ca="1">IFERROR(__xludf.DUMMYFUNCTION("IMPORTRANGE(""https://docs.google.com/spreadsheets/d/1Yj_ptqi66GCucihVvJfMjLAmec39IyEx_6qawtMGysU/edit?usp=sharing"",""สบก!S78"")"),48000)</f>
        <v>48000</v>
      </c>
      <c r="O49" s="49">
        <f ca="1">IF(L49&gt;0,N49*100/L49,0)</f>
        <v>100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600000</v>
      </c>
      <c r="M53" s="121">
        <f t="shared" ca="1" si="39"/>
        <v>607281</v>
      </c>
      <c r="N53" s="121">
        <f t="shared" ca="1" si="39"/>
        <v>601856</v>
      </c>
      <c r="O53" s="120">
        <f t="shared" ref="O53:O55" ca="1" si="40">IF(L53&gt;0,N53*100/L53,0)</f>
        <v>100.30933333333333</v>
      </c>
      <c r="P53" s="120">
        <f t="shared" ref="P53:P55" ca="1" si="41">IF(M53&gt;0,N53*100/M53,0)</f>
        <v>99.106673846209574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600000</v>
      </c>
      <c r="M55" s="121">
        <f t="shared" ca="1" si="43"/>
        <v>607281</v>
      </c>
      <c r="N55" s="121">
        <f t="shared" ca="1" si="43"/>
        <v>601856</v>
      </c>
      <c r="O55" s="120">
        <f t="shared" ca="1" si="40"/>
        <v>100.30933333333333</v>
      </c>
      <c r="P55" s="120">
        <f t="shared" ca="1" si="41"/>
        <v>99.106673846209574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600000</v>
      </c>
      <c r="M57" s="49">
        <f ca="1">IFERROR(__xludf.DUMMYFUNCTION("IMPORTRANGE(""https://docs.google.com/spreadsheets/d/1Yj_ptqi66GCucihVvJfMjLAmec39IyEx_6qawtMGysU/edit?usp=sharing"",""สบก!Z78"")"),607281)</f>
        <v>607281</v>
      </c>
      <c r="N57" s="49">
        <f ca="1">IFERROR(__xludf.DUMMYFUNCTION("IMPORTRANGE(""https://docs.google.com/spreadsheets/d/1Yj_ptqi66GCucihVvJfMjLAmec39IyEx_6qawtMGysU/edit?usp=sharing"",""สบก!AA78"")"),601856)</f>
        <v>601856</v>
      </c>
      <c r="O57" s="38">
        <f ca="1">IF(L57&gt;0,N57*100/L57,0)</f>
        <v>100.30933333333333</v>
      </c>
      <c r="P57" s="38">
        <f ca="1">IF(M57&gt;0,N57*100/M57,0)</f>
        <v>99.106673846209574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IFERROR(__xludf.DUMMYFUNCTION("IMPORTRANGE(""https://docs.google.com/spreadsheets/d/1Yj_ptqi66GCucihVvJfMjLAmec39IyEx_6qawtMGysU/edit?usp=sharing"",""สบก!V78"")"),600000)</f>
        <v>600000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IFERROR(__xludf.DUMMYFUNCTION("IMPORTRANGE(""https://docs.google.com/spreadsheets/d/1Yj_ptqi66GCucihVvJfMjLAmec39IyEx_6qawtMGysU/edit?usp=sharing"",""สบก!X78"")"),0)</f>
        <v>0</v>
      </c>
      <c r="M61" s="49"/>
      <c r="N61" s="49">
        <f ca="1">IFERROR(__xludf.DUMMYFUNCTION("IMPORTRANGE(""https://docs.google.com/spreadsheets/d/1Yj_ptqi66GCucihVvJfMjLAmec39IyEx_6qawtMGysU/edit?usp=sharing"",""สบก!AB78"")"),0)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IFERROR(__xludf.DUMMYFUNCTION("IMPORTRANGE(""https://docs.google.com/spreadsheets/d/1SX6NBoVAgQJ6U1MVXOaj8PK2l7WJ3RER9xtqwdhxkhw/edit?usp=sharing"",""สุพรรณบุรี!I9"")"),2)</f>
        <v>2</v>
      </c>
      <c r="J64" s="142">
        <f ca="1">IFERROR(__xludf.DUMMYFUNCTION("IMPORTRANGE(""https://docs.google.com/spreadsheets/d/1SX6NBoVAgQJ6U1MVXOaj8PK2l7WJ3RER9xtqwdhxkhw/edit?usp=sharing"",""สุพรรณบุรี!J9"")"),2)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IFERROR(__xludf.DUMMYFUNCTION("IMPORTRANGE(""https://docs.google.com/spreadsheets/d/1SX6NBoVAgQJ6U1MVXOaj8PK2l7WJ3RER9xtqwdhxkhw/edit?usp=sharing"",""สุพรรณบุรี!I10"")"),70)</f>
        <v>70</v>
      </c>
      <c r="J65" s="142">
        <f ca="1">IFERROR(__xludf.DUMMYFUNCTION("IMPORTRANGE(""https://docs.google.com/spreadsheets/d/1SX6NBoVAgQJ6U1MVXOaj8PK2l7WJ3RER9xtqwdhxkhw/edit?usp=sharing"",""สุพรรณบุรี!J10"")"),70)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1870200</v>
      </c>
      <c r="M66" s="152">
        <f t="shared" ca="1" si="45"/>
        <v>1882700</v>
      </c>
      <c r="N66" s="152">
        <f t="shared" ca="1" si="45"/>
        <v>1678585.2</v>
      </c>
      <c r="O66" s="151">
        <f t="shared" ref="O66:O68" ca="1" si="46">IF(L66&gt;0,N66*100/L66,0)</f>
        <v>89.754315046519082</v>
      </c>
      <c r="P66" s="151">
        <f t="shared" ref="P66:P68" ca="1" si="47">IF(M66&gt;0,N66*100/M66,0)</f>
        <v>89.158400169968658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1870200</v>
      </c>
      <c r="M68" s="157">
        <f t="shared" ca="1" si="49"/>
        <v>1882700</v>
      </c>
      <c r="N68" s="157">
        <f t="shared" ca="1" si="49"/>
        <v>1678585.2</v>
      </c>
      <c r="O68" s="156">
        <f t="shared" ca="1" si="46"/>
        <v>89.754315046519082</v>
      </c>
      <c r="P68" s="156">
        <f t="shared" ca="1" si="47"/>
        <v>89.158400169968658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947200</v>
      </c>
      <c r="M70" s="168">
        <f ca="1">IFERROR(__xludf.DUMMYFUNCTION("IMPORTRANGE(""https://docs.google.com/spreadsheets/d/1Yj_ptqi66GCucihVvJfMjLAmec39IyEx_6qawtMGysU/edit?usp=sharing"",""สบก!AI78"")"),959700)</f>
        <v>959700</v>
      </c>
      <c r="N70" s="169">
        <f ca="1">IFERROR(__xludf.DUMMYFUNCTION("IMPORTRANGE(""https://docs.google.com/spreadsheets/d/1Yj_ptqi66GCucihVvJfMjLAmec39IyEx_6qawtMGysU/edit?usp=sharing"",""สบก!AJ78"")"),755585.2)</f>
        <v>755585.2</v>
      </c>
      <c r="O70" s="169">
        <f ca="1">IF(L70&gt;0,N70*100/L70,0)</f>
        <v>79.770396959459461</v>
      </c>
      <c r="P70" s="169">
        <f ca="1">IF(M70&gt;0,N70*100/M70,0)</f>
        <v>78.731395227675321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IFERROR(__xludf.DUMMYFUNCTION("IMPORTRANGE(""https://docs.google.com/spreadsheets/d/1Yj_ptqi66GCucihVvJfMjLAmec39IyEx_6qawtMGysU/edit?usp=sharing"",""สบก!AE78"")"),317200)</f>
        <v>317200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IFERROR(__xludf.DUMMYFUNCTION("IMPORTRANGE(""https://docs.google.com/spreadsheets/d/1Yj_ptqi66GCucihVvJfMjLAmec39IyEx_6qawtMGysU/edit?usp=sharing"",""สบก!AF78"")"),630000)</f>
        <v>630000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IFERROR(__xludf.DUMMYFUNCTION("IMPORTRANGE(""https://docs.google.com/spreadsheets/d/1Yj_ptqi66GCucihVvJfMjLAmec39IyEx_6qawtMGysU/edit?usp=sharing"",""สบก!AG78"")"),923000)</f>
        <v>923000</v>
      </c>
      <c r="M74" s="49">
        <f ca="1">L74</f>
        <v>923000</v>
      </c>
      <c r="N74" s="49">
        <f ca="1">IFERROR(__xludf.DUMMYFUNCTION("IMPORTRANGE(""https://docs.google.com/spreadsheets/d/1Yj_ptqi66GCucihVvJfMjLAmec39IyEx_6qawtMGysU/edit?usp=sharing"",""สบก!AK78"")"),923000)</f>
        <v>923000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IFERROR(__xludf.DUMMYFUNCTION("IMPORTRANGE(""https://docs.google.com/spreadsheets/d/1SX6NBoVAgQJ6U1MVXOaj8PK2l7WJ3RER9xtqwdhxkhw/edit?usp=sharing"",""สุพรรณบุรี!J16"")"),0)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IFERROR(__xludf.DUMMYFUNCTION("IMPORTRANGE(""https://docs.google.com/spreadsheets/d/1SX6NBoVAgQJ6U1MVXOaj8PK2l7WJ3RER9xtqwdhxkhw/edit?usp=sharing"",""สุพรรณบุรี!J17"")"),1)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IFERROR(__xludf.DUMMYFUNCTION("IMPORTRANGE(""https://docs.google.com/spreadsheets/d/1SX6NBoVAgQJ6U1MVXOaj8PK2l7WJ3RER9xtqwdhxkhw/edit?usp=sharing"",""สุพรรณบุรี!J18"")"),1)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IFERROR(__xludf.DUMMYFUNCTION("IMPORTRANGE(""https://docs.google.com/spreadsheets/d/1SX6NBoVAgQJ6U1MVXOaj8PK2l7WJ3RER9xtqwdhxkhw/edit?usp=sharing"",""สุพรรณบุรี!J19"")"),1)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IFERROR(__xludf.DUMMYFUNCTION("IMPORTRANGE(""https://docs.google.com/spreadsheets/d/1SX6NBoVAgQJ6U1MVXOaj8PK2l7WJ3RER9xtqwdhxkhw/edit?usp=sharing"",""สุพรรณบุรี!I20"")"),2)</f>
        <v>2</v>
      </c>
      <c r="J80" s="201">
        <f ca="1">IFERROR(__xludf.DUMMYFUNCTION("IMPORTRANGE(""https://docs.google.com/spreadsheets/d/1SX6NBoVAgQJ6U1MVXOaj8PK2l7WJ3RER9xtqwdhxkhw/edit?usp=sharing"",""สุพรรณบุรี!J20"")"),2)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IFERROR(__xludf.DUMMYFUNCTION("IMPORTRANGE(""https://docs.google.com/spreadsheets/d/1SX6NBoVAgQJ6U1MVXOaj8PK2l7WJ3RER9xtqwdhxkhw/edit?usp=sharing"",""สุพรรณบุรี!I21"")"),70)</f>
        <v>70</v>
      </c>
      <c r="J81" s="201">
        <f ca="1">IFERROR(__xludf.DUMMYFUNCTION("IMPORTRANGE(""https://docs.google.com/spreadsheets/d/1SX6NBoVAgQJ6U1MVXOaj8PK2l7WJ3RER9xtqwdhxkhw/edit?usp=sharing"",""สุพรรณบุรี!J21"")"),70)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IFERROR(__xludf.DUMMYFUNCTION("IMPORTRANGE(""https://docs.google.com/spreadsheets/d/1SX6NBoVAgQJ6U1MVXOaj8PK2l7WJ3RER9xtqwdhxkhw/edit?usp=sharing"",""สุพรรณบุรี!I22"")"),0)</f>
        <v>0</v>
      </c>
      <c r="J82" s="204">
        <f ca="1">IFERROR(__xludf.DUMMYFUNCTION("IMPORTRANGE(""https://docs.google.com/spreadsheets/d/1SX6NBoVAgQJ6U1MVXOaj8PK2l7WJ3RER9xtqwdhxkhw/edit?usp=sharing"",""สุพรรณบุรี!J22"")"),0)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IFERROR(__xludf.DUMMYFUNCTION("IMPORTRANGE(""https://docs.google.com/spreadsheets/d/1SX6NBoVAgQJ6U1MVXOaj8PK2l7WJ3RER9xtqwdhxkhw/edit?usp=sharing"",""สุพรรณบุรี!I23"")"),0)</f>
        <v>0</v>
      </c>
      <c r="J83" s="204">
        <f ca="1">IFERROR(__xludf.DUMMYFUNCTION("IMPORTRANGE(""https://docs.google.com/spreadsheets/d/1SX6NBoVAgQJ6U1MVXOaj8PK2l7WJ3RER9xtqwdhxkhw/edit?usp=sharing"",""สุพรรณบุรี!J23"")"),0)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IFERROR(__xludf.DUMMYFUNCTION("IMPORTRANGE(""https://docs.google.com/spreadsheets/d/1SX6NBoVAgQJ6U1MVXOaj8PK2l7WJ3RER9xtqwdhxkhw/edit?usp=sharing"",""สุพรรณบุรี!I24"")"),0)</f>
        <v>0</v>
      </c>
      <c r="J84" s="189">
        <f ca="1">IFERROR(__xludf.DUMMYFUNCTION("IMPORTRANGE(""https://docs.google.com/spreadsheets/d/1SX6NBoVAgQJ6U1MVXOaj8PK2l7WJ3RER9xtqwdhxkhw/edit?usp=sharing"",""สุพรรณบุรี!J24"")"),0)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IFERROR(__xludf.DUMMYFUNCTION("IMPORTRANGE(""https://docs.google.com/spreadsheets/d/1SX6NBoVAgQJ6U1MVXOaj8PK2l7WJ3RER9xtqwdhxkhw/edit?usp=sharing"",""สุพรรณบุรี!I25"")"),0)</f>
        <v>0</v>
      </c>
      <c r="J85" s="189">
        <f ca="1">IFERROR(__xludf.DUMMYFUNCTION("IMPORTRANGE(""https://docs.google.com/spreadsheets/d/1SX6NBoVAgQJ6U1MVXOaj8PK2l7WJ3RER9xtqwdhxkhw/edit?usp=sharing"",""สุพรรณบุรี!J25"")"),0)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IFERROR(__xludf.DUMMYFUNCTION("IMPORTRANGE(""https://docs.google.com/spreadsheets/d/1SX6NBoVAgQJ6U1MVXOaj8PK2l7WJ3RER9xtqwdhxkhw/edit?usp=sharing"",""สุพรรณบุรี!I26"")"),2)</f>
        <v>2</v>
      </c>
      <c r="J86" s="204">
        <f ca="1">IFERROR(__xludf.DUMMYFUNCTION("IMPORTRANGE(""https://docs.google.com/spreadsheets/d/1SX6NBoVAgQJ6U1MVXOaj8PK2l7WJ3RER9xtqwdhxkhw/edit?usp=sharing"",""สุพรรณบุรี!J26"")"),2)</f>
        <v>2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IFERROR(__xludf.DUMMYFUNCTION("IMPORTRANGE(""https://docs.google.com/spreadsheets/d/1SX6NBoVAgQJ6U1MVXOaj8PK2l7WJ3RER9xtqwdhxkhw/edit?usp=sharing"",""สุพรรณบุรี!I27"")"),70)</f>
        <v>70</v>
      </c>
      <c r="J87" s="204">
        <f ca="1">IFERROR(__xludf.DUMMYFUNCTION("IMPORTRANGE(""https://docs.google.com/spreadsheets/d/1SX6NBoVAgQJ6U1MVXOaj8PK2l7WJ3RER9xtqwdhxkhw/edit?usp=sharing"",""สุพรรณบุรี!J27"")"),70)</f>
        <v>70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IFERROR(__xludf.DUMMYFUNCTION("IMPORTRANGE(""https://docs.google.com/spreadsheets/d/1SX6NBoVAgQJ6U1MVXOaj8PK2l7WJ3RER9xtqwdhxkhw/edit?usp=sharing"",""สุพรรณบุรี!I28"")"),2)</f>
        <v>2</v>
      </c>
      <c r="J88" s="204">
        <f ca="1">IFERROR(__xludf.DUMMYFUNCTION("IMPORTRANGE(""https://docs.google.com/spreadsheets/d/1SX6NBoVAgQJ6U1MVXOaj8PK2l7WJ3RER9xtqwdhxkhw/edit?usp=sharing"",""สุพรรณบุรี!J28"")"),2)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IFERROR(__xludf.DUMMYFUNCTION("IMPORTRANGE(""https://docs.google.com/spreadsheets/d/1SX6NBoVAgQJ6U1MVXOaj8PK2l7WJ3RER9xtqwdhxkhw/edit?usp=sharing"",""สุพรรณบุรี!J29"")"),0)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IFERROR(__xludf.DUMMYFUNCTION("IMPORTRANGE(""https://docs.google.com/spreadsheets/d/1SX6NBoVAgQJ6U1MVXOaj8PK2l7WJ3RER9xtqwdhxkhw/edit?usp=sharing"",""สุพรรณบุรี!J30"")"),0)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IFERROR(__xludf.DUMMYFUNCTION("IMPORTRANGE(""https://docs.google.com/spreadsheets/d/1SX6NBoVAgQJ6U1MVXOaj8PK2l7WJ3RER9xtqwdhxkhw/edit?usp=sharing"",""สุพรรณบุรี!I32"")"),0)</f>
        <v>0</v>
      </c>
      <c r="J92" s="142">
        <f ca="1">IFERROR(__xludf.DUMMYFUNCTION("IMPORTRANGE(""https://docs.google.com/spreadsheets/d/1SX6NBoVAgQJ6U1MVXOaj8PK2l7WJ3RER9xtqwdhxkhw/edit?usp=sharing"",""สุพรรณบุรี!J32"")"),0)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IFERROR(__xludf.DUMMYFUNCTION("IMPORTRANGE(""https://docs.google.com/spreadsheets/d/1SX6NBoVAgQJ6U1MVXOaj8PK2l7WJ3RER9xtqwdhxkhw/edit?usp=sharing"",""สุพรรณบุรี!I33"")"),0)</f>
        <v>0</v>
      </c>
      <c r="J93" s="142">
        <f ca="1">IFERROR(__xludf.DUMMYFUNCTION("IMPORTRANGE(""https://docs.google.com/spreadsheets/d/1SX6NBoVAgQJ6U1MVXOaj8PK2l7WJ3RER9xtqwdhxkhw/edit?usp=sharing"",""สุพรรณบุรี!J33"")"),0)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IFERROR(__xludf.DUMMYFUNCTION("IMPORTRANGE(""https://docs.google.com/spreadsheets/d/1Yj_ptqi66GCucihVvJfMjLAmec39IyEx_6qawtMGysU/edit?usp=sharing"",""สบก!AR78"")"),0)</f>
        <v>0</v>
      </c>
      <c r="N98" s="169">
        <f ca="1">IFERROR(__xludf.DUMMYFUNCTION("IMPORTRANGE(""https://docs.google.com/spreadsheets/d/1Yj_ptqi66GCucihVvJfMjLAmec39IyEx_6qawtMGysU/edit?usp=sharing"",""สบก!AS78"")"),0)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IFERROR(__xludf.DUMMYFUNCTION("IMPORTRANGE(""https://docs.google.com/spreadsheets/d/1Yj_ptqi66GCucihVvJfMjLAmec39IyEx_6qawtMGysU/edit?usp=sharing"",""สบก!AP78"")"),0)</f>
        <v>0</v>
      </c>
      <c r="M102" s="49"/>
      <c r="N102" s="49">
        <f ca="1">IFERROR(__xludf.DUMMYFUNCTION("IMPORTRANGE(""https://docs.google.com/spreadsheets/d/1Yj_ptqi66GCucihVvJfMjLAmec39IyEx_6qawtMGysU/edit?usp=sharing"",""สบก!AT78"")"),0)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IFERROR(__xludf.DUMMYFUNCTION("IMPORTRANGE(""https://docs.google.com/spreadsheets/d/1SX6NBoVAgQJ6U1MVXOaj8PK2l7WJ3RER9xtqwdhxkhw/edit?usp=sharing"",""สุพรรณบุรี!J39"")"),0)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IFERROR(__xludf.DUMMYFUNCTION("IMPORTRANGE(""https://docs.google.com/spreadsheets/d/1SX6NBoVAgQJ6U1MVXOaj8PK2l7WJ3RER9xtqwdhxkhw/edit?usp=sharing"",""สุพรรณบุรี!J40"")"),0)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IFERROR(__xludf.DUMMYFUNCTION("IMPORTRANGE(""https://docs.google.com/spreadsheets/d/1SX6NBoVAgQJ6U1MVXOaj8PK2l7WJ3RER9xtqwdhxkhw/edit?usp=sharing"",""สุพรรณบุรี!J41"")"),0)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IFERROR(__xludf.DUMMYFUNCTION("IMPORTRANGE(""https://docs.google.com/spreadsheets/d/1SX6NBoVAgQJ6U1MVXOaj8PK2l7WJ3RER9xtqwdhxkhw/edit?usp=sharing"",""สุพรรณบุรี!J42"")"),0)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IFERROR(__xludf.DUMMYFUNCTION("IMPORTRANGE(""https://docs.google.com/spreadsheets/d/1SX6NBoVAgQJ6U1MVXOaj8PK2l7WJ3RER9xtqwdhxkhw/edit?usp=sharing"",""สุพรรณบุรี!I43"")"),0)</f>
        <v>0</v>
      </c>
      <c r="J108" s="204">
        <f ca="1">IFERROR(__xludf.DUMMYFUNCTION("IMPORTRANGE(""https://docs.google.com/spreadsheets/d/1SX6NBoVAgQJ6U1MVXOaj8PK2l7WJ3RER9xtqwdhxkhw/edit?usp=sharing"",""สุพรรณบุรี!J43"")"),0)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IFERROR(__xludf.DUMMYFUNCTION("IMPORTRANGE(""https://docs.google.com/spreadsheets/d/1SX6NBoVAgQJ6U1MVXOaj8PK2l7WJ3RER9xtqwdhxkhw/edit?usp=sharing"",""สุพรรณบุรี!I44"")"),0)</f>
        <v>0</v>
      </c>
      <c r="J109" s="204">
        <f ca="1">IFERROR(__xludf.DUMMYFUNCTION("IMPORTRANGE(""https://docs.google.com/spreadsheets/d/1SX6NBoVAgQJ6U1MVXOaj8PK2l7WJ3RER9xtqwdhxkhw/edit?usp=sharing"",""สุพรรณบุรี!J44"")"),0)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IFERROR(__xludf.DUMMYFUNCTION("IMPORTRANGE(""https://docs.google.com/spreadsheets/d/1SX6NBoVAgQJ6U1MVXOaj8PK2l7WJ3RER9xtqwdhxkhw/edit?usp=sharing"",""สุพรรณบุรี!I45"")"),0)</f>
        <v>0</v>
      </c>
      <c r="J110" s="204">
        <f ca="1">IFERROR(__xludf.DUMMYFUNCTION("IMPORTRANGE(""https://docs.google.com/spreadsheets/d/1SX6NBoVAgQJ6U1MVXOaj8PK2l7WJ3RER9xtqwdhxkhw/edit?usp=sharing"",""สุพรรณบุรี!J45"")"),0)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IFERROR(__xludf.DUMMYFUNCTION("IMPORTRANGE(""https://docs.google.com/spreadsheets/d/1SX6NBoVAgQJ6U1MVXOaj8PK2l7WJ3RER9xtqwdhxkhw/edit?usp=sharing"",""สุพรรณบุรี!I46"")"),0)</f>
        <v>0</v>
      </c>
      <c r="J111" s="204">
        <f ca="1">IFERROR(__xludf.DUMMYFUNCTION("IMPORTRANGE(""https://docs.google.com/spreadsheets/d/1SX6NBoVAgQJ6U1MVXOaj8PK2l7WJ3RER9xtqwdhxkhw/edit?usp=sharing"",""สุพรรณบุรี!J46"")"),0)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IFERROR(__xludf.DUMMYFUNCTION("IMPORTRANGE(""https://docs.google.com/spreadsheets/d/1SX6NBoVAgQJ6U1MVXOaj8PK2l7WJ3RER9xtqwdhxkhw/edit?usp=sharing"",""สุพรรณบุรี!I47"")"),0)</f>
        <v>0</v>
      </c>
      <c r="J112" s="204">
        <f ca="1">IFERROR(__xludf.DUMMYFUNCTION("IMPORTRANGE(""https://docs.google.com/spreadsheets/d/1SX6NBoVAgQJ6U1MVXOaj8PK2l7WJ3RER9xtqwdhxkhw/edit?usp=sharing"",""สุพรรณบุรี!J47"")"),0)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IFERROR(__xludf.DUMMYFUNCTION("IMPORTRANGE(""https://docs.google.com/spreadsheets/d/1SX6NBoVAgQJ6U1MVXOaj8PK2l7WJ3RER9xtqwdhxkhw/edit?usp=sharing"",""สุพรรณบุรี!I48"")"),0)</f>
        <v>0</v>
      </c>
      <c r="J113" s="204">
        <f ca="1">IFERROR(__xludf.DUMMYFUNCTION("IMPORTRANGE(""https://docs.google.com/spreadsheets/d/1SX6NBoVAgQJ6U1MVXOaj8PK2l7WJ3RER9xtqwdhxkhw/edit?usp=sharing"",""สุพรรณบุรี!J48"")"),0)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IFERROR(__xludf.DUMMYFUNCTION("IMPORTRANGE(""https://docs.google.com/spreadsheets/d/1SX6NBoVAgQJ6U1MVXOaj8PK2l7WJ3RER9xtqwdhxkhw/edit?usp=sharing"",""สุพรรณบุรี!J49"")"),0)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IFERROR(__xludf.DUMMYFUNCTION("IMPORTRANGE(""https://docs.google.com/spreadsheets/d/1SX6NBoVAgQJ6U1MVXOaj8PK2l7WJ3RER9xtqwdhxkhw/edit?usp=sharing"",""สุพรรณบุรี!J50"")"),0)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IFERROR(__xludf.DUMMYFUNCTION("IMPORTRANGE(""https://docs.google.com/spreadsheets/d/1SX6NBoVAgQJ6U1MVXOaj8PK2l7WJ3RER9xtqwdhxkhw/edit?usp=sharing"",""สุพรรณบุรี!I52"")"),15)</f>
        <v>15</v>
      </c>
      <c r="J117" s="142">
        <f ca="1">IFERROR(__xludf.DUMMYFUNCTION("IMPORTRANGE(""https://docs.google.com/spreadsheets/d/1SX6NBoVAgQJ6U1MVXOaj8PK2l7WJ3RER9xtqwdhxkhw/edit?usp=sharing"",""สุพรรณบุรี!J52"")"),15)</f>
        <v>15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64890</v>
      </c>
      <c r="M118" s="152">
        <f t="shared" ca="1" si="58"/>
        <v>64890</v>
      </c>
      <c r="N118" s="152">
        <f t="shared" ca="1" si="58"/>
        <v>64890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64890</v>
      </c>
      <c r="M120" s="157">
        <f t="shared" ca="1" si="62"/>
        <v>64890</v>
      </c>
      <c r="N120" s="157">
        <f t="shared" ca="1" si="62"/>
        <v>64890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64890</v>
      </c>
      <c r="M122" s="168">
        <f ca="1">IFERROR(__xludf.DUMMYFUNCTION("IMPORTRANGE(""https://docs.google.com/spreadsheets/d/1Yj_ptqi66GCucihVvJfMjLAmec39IyEx_6qawtMGysU/edit?usp=sharing"",""สบก!BA78"")"),64890)</f>
        <v>64890</v>
      </c>
      <c r="N122" s="169">
        <f ca="1">IFERROR(__xludf.DUMMYFUNCTION("IMPORTRANGE(""https://docs.google.com/spreadsheets/d/1Yj_ptqi66GCucihVvJfMjLAmec39IyEx_6qawtMGysU/edit?usp=sharing"",""สบก!BB78"")"),64890)</f>
        <v>64890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IFERROR(__xludf.DUMMYFUNCTION("IMPORTRANGE(""https://docs.google.com/spreadsheets/d/1Yj_ptqi66GCucihVvJfMjLAmec39IyEx_6qawtMGysU/edit?usp=sharing"",""สบก!AX78"")"),64890)</f>
        <v>64890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IFERROR(__xludf.DUMMYFUNCTION("IMPORTRANGE(""https://docs.google.com/spreadsheets/d/1Yj_ptqi66GCucihVvJfMjLAmec39IyEx_6qawtMGysU/edit?usp=sharing"",""สบก!AY78"")"),0)</f>
        <v>0</v>
      </c>
      <c r="M126" s="49"/>
      <c r="N126" s="49">
        <f ca="1">IFERROR(__xludf.DUMMYFUNCTION("IMPORTRANGE(""https://docs.google.com/spreadsheets/d/1Yj_ptqi66GCucihVvJfMjLAmec39IyEx_6qawtMGysU/edit?usp=sharing"",""สบก!BC78"")"),0)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IFERROR(__xludf.DUMMYFUNCTION("IMPORTRANGE(""https://docs.google.com/spreadsheets/d/1SX6NBoVAgQJ6U1MVXOaj8PK2l7WJ3RER9xtqwdhxkhw/edit?usp=sharing"",""สุพรรณบุรี!J58"")"),0)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IFERROR(__xludf.DUMMYFUNCTION("IMPORTRANGE(""https://docs.google.com/spreadsheets/d/1SX6NBoVAgQJ6U1MVXOaj8PK2l7WJ3RER9xtqwdhxkhw/edit?usp=sharing"",""สุพรรณบุรี!J59"")"),1)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IFERROR(__xludf.DUMMYFUNCTION("IMPORTRANGE(""https://docs.google.com/spreadsheets/d/1SX6NBoVAgQJ6U1MVXOaj8PK2l7WJ3RER9xtqwdhxkhw/edit?usp=sharing"",""สุพรรณบุรี!J60"")"),1)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IFERROR(__xludf.DUMMYFUNCTION("IMPORTRANGE(""https://docs.google.com/spreadsheets/d/1SX6NBoVAgQJ6U1MVXOaj8PK2l7WJ3RER9xtqwdhxkhw/edit?usp=sharing"",""สุพรรณบุรี!J61"")"),1)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IFERROR(__xludf.DUMMYFUNCTION("IMPORTRANGE(""https://docs.google.com/spreadsheets/d/1SX6NBoVAgQJ6U1MVXOaj8PK2l7WJ3RER9xtqwdhxkhw/edit?usp=sharing"",""สุพรรณบุรี!I62"")"),15)</f>
        <v>15</v>
      </c>
      <c r="J132" s="204">
        <f ca="1">IFERROR(__xludf.DUMMYFUNCTION("IMPORTRANGE(""https://docs.google.com/spreadsheets/d/1SX6NBoVAgQJ6U1MVXOaj8PK2l7WJ3RER9xtqwdhxkhw/edit?usp=sharing"",""สุพรรณบุรี!J62"")"),15)</f>
        <v>15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IFERROR(__xludf.DUMMYFUNCTION("IMPORTRANGE(""https://docs.google.com/spreadsheets/d/1SX6NBoVAgQJ6U1MVXOaj8PK2l7WJ3RER9xtqwdhxkhw/edit?usp=sharing"",""สุพรรณบุรี!I63"")"),15)</f>
        <v>15</v>
      </c>
      <c r="J133" s="204">
        <f ca="1">IFERROR(__xludf.DUMMYFUNCTION("IMPORTRANGE(""https://docs.google.com/spreadsheets/d/1SX6NBoVAgQJ6U1MVXOaj8PK2l7WJ3RER9xtqwdhxkhw/edit?usp=sharing"",""สุพรรณบุรี!J63"")"),15)</f>
        <v>15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IFERROR(__xludf.DUMMYFUNCTION("IMPORTRANGE(""https://docs.google.com/spreadsheets/d/1SX6NBoVAgQJ6U1MVXOaj8PK2l7WJ3RER9xtqwdhxkhw/edit?usp=sharing"",""สุพรรณบุรี!J64"")"),0)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IFERROR(__xludf.DUMMYFUNCTION("IMPORTRANGE(""https://docs.google.com/spreadsheets/d/1SX6NBoVAgQJ6U1MVXOaj8PK2l7WJ3RER9xtqwdhxkhw/edit?usp=sharing"",""สุพรรณบุรี!J65"")"),0)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IFERROR(__xludf.DUMMYFUNCTION("IMPORTRANGE(""https://docs.google.com/spreadsheets/d/1SX6NBoVAgQJ6U1MVXOaj8PK2l7WJ3RER9xtqwdhxkhw/edit?usp=sharing"",""สุพรรณบุรี!I68"")"),0)</f>
        <v>0</v>
      </c>
      <c r="J138" s="268">
        <f ca="1">IFERROR(__xludf.DUMMYFUNCTION("IMPORTRANGE(""https://docs.google.com/spreadsheets/d/1SX6NBoVAgQJ6U1MVXOaj8PK2l7WJ3RER9xtqwdhxkhw/edit?usp=sharing"",""สุพรรณบุรี!J68"")"),0)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122000</v>
      </c>
      <c r="M140" s="152">
        <f t="shared" ca="1" si="64"/>
        <v>133630</v>
      </c>
      <c r="N140" s="152">
        <f t="shared" ca="1" si="64"/>
        <v>126630</v>
      </c>
      <c r="O140" s="151">
        <f t="shared" ref="O140:O142" ca="1" si="65">IF(L140&gt;0,N140*100/L140,0)</f>
        <v>103.79508196721312</v>
      </c>
      <c r="P140" s="151">
        <f t="shared" ref="P140:P142" ca="1" si="66">IF(M140&gt;0,N140*100/M140,0)</f>
        <v>94.761655316919857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122000</v>
      </c>
      <c r="M142" s="157">
        <f t="shared" ca="1" si="68"/>
        <v>133630</v>
      </c>
      <c r="N142" s="157">
        <f t="shared" ca="1" si="68"/>
        <v>126630</v>
      </c>
      <c r="O142" s="156">
        <f t="shared" ca="1" si="65"/>
        <v>103.79508196721312</v>
      </c>
      <c r="P142" s="156">
        <f t="shared" ca="1" si="66"/>
        <v>94.761655316919857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122000</v>
      </c>
      <c r="M144" s="168">
        <f ca="1">IFERROR(__xludf.DUMMYFUNCTION("IMPORTRANGE(""https://docs.google.com/spreadsheets/d/1Yj_ptqi66GCucihVvJfMjLAmec39IyEx_6qawtMGysU/edit?usp=sharing"",""สบก!BJ78"")"),133630)</f>
        <v>133630</v>
      </c>
      <c r="N144" s="169">
        <f ca="1">IFERROR(__xludf.DUMMYFUNCTION("IMPORTRANGE(""https://docs.google.com/spreadsheets/d/1Yj_ptqi66GCucihVvJfMjLAmec39IyEx_6qawtMGysU/edit?usp=sharing"",""สบก!BK78"")"),126630)</f>
        <v>126630</v>
      </c>
      <c r="O144" s="169">
        <f ca="1">IF(L144&gt;0,N144*100/L144,0)</f>
        <v>103.79508196721312</v>
      </c>
      <c r="P144" s="169">
        <f ca="1">IF(M144&gt;0,N144*100/M144,0)</f>
        <v>94.761655316919857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IFERROR(__xludf.DUMMYFUNCTION("IMPORTRANGE(""https://docs.google.com/spreadsheets/d/1Yj_ptqi66GCucihVvJfMjLAmec39IyEx_6qawtMGysU/edit?usp=sharing"",""สบก!BG78"")"),122000)</f>
        <v>122000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IFERROR(__xludf.DUMMYFUNCTION("IMPORTRANGE(""https://docs.google.com/spreadsheets/d/1Yj_ptqi66GCucihVvJfMjLAmec39IyEx_6qawtMGysU/edit?usp=sharing"",""สบก!BH78"")"),0)</f>
        <v>0</v>
      </c>
      <c r="M148" s="49"/>
      <c r="N148" s="49">
        <f ca="1">IFERROR(__xludf.DUMMYFUNCTION("IMPORTRANGE(""https://docs.google.com/spreadsheets/d/1Yj_ptqi66GCucihVvJfMjLAmec39IyEx_6qawtMGysU/edit?usp=sharing"",""สบก!BL78"")"),0)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IFERROR(__xludf.DUMMYFUNCTION("IMPORTRANGE(""https://docs.google.com/spreadsheets/d/1SX6NBoVAgQJ6U1MVXOaj8PK2l7WJ3RER9xtqwdhxkhw/edit?usp=sharing"",""สุพรรณบุรี!I74"")"),4)</f>
        <v>4</v>
      </c>
      <c r="J149" s="276">
        <f ca="1">IFERROR(__xludf.DUMMYFUNCTION("IMPORTRANGE(""https://docs.google.com/spreadsheets/d/1SX6NBoVAgQJ6U1MVXOaj8PK2l7WJ3RER9xtqwdhxkhw/edit?usp=sharing"",""สุพรรณบุรี!J74"")"),2)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IFERROR(__xludf.DUMMYFUNCTION("IMPORTRANGE(""https://docs.google.com/spreadsheets/d/1SX6NBoVAgQJ6U1MVXOaj8PK2l7WJ3RER9xtqwdhxkhw/edit?usp=sharing"",""สุพรรณบุรี!J79"")"),0)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IFERROR(__xludf.DUMMYFUNCTION("IMPORTRANGE(""https://docs.google.com/spreadsheets/d/1SX6NBoVAgQJ6U1MVXOaj8PK2l7WJ3RER9xtqwdhxkhw/edit?usp=sharing"",""สุพรรณบุรี!J80"")"),1)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IFERROR(__xludf.DUMMYFUNCTION("IMPORTRANGE(""https://docs.google.com/spreadsheets/d/1SX6NBoVAgQJ6U1MVXOaj8PK2l7WJ3RER9xtqwdhxkhw/edit?usp=sharing"",""สุพรรณบุรี!J81"")"),1)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IFERROR(__xludf.DUMMYFUNCTION("IMPORTRANGE(""https://docs.google.com/spreadsheets/d/1SX6NBoVAgQJ6U1MVXOaj8PK2l7WJ3RER9xtqwdhxkhw/edit?usp=sharing"",""สุพรรณบุรี!J82"")"),1)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IFERROR(__xludf.DUMMYFUNCTION("IMPORTRANGE(""https://docs.google.com/spreadsheets/d/1SX6NBoVAgQJ6U1MVXOaj8PK2l7WJ3RER9xtqwdhxkhw/edit?usp=sharing"",""สุพรรณบุรี!I83"")"),4)</f>
        <v>4</v>
      </c>
      <c r="J158" s="189">
        <f ca="1">IFERROR(__xludf.DUMMYFUNCTION("IMPORTRANGE(""https://docs.google.com/spreadsheets/d/1SX6NBoVAgQJ6U1MVXOaj8PK2l7WJ3RER9xtqwdhxkhw/edit?usp=sharing"",""สุพรรณบุรี!J83"")"),2)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IFERROR(__xludf.DUMMYFUNCTION("IMPORTRANGE(""https://docs.google.com/spreadsheets/d/1SX6NBoVAgQJ6U1MVXOaj8PK2l7WJ3RER9xtqwdhxkhw/edit?usp=sharing"",""สุพรรณบุรี!J84"")"),53)</f>
        <v>53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IFERROR(__xludf.DUMMYFUNCTION("IMPORTRANGE(""https://docs.google.com/spreadsheets/d/1SX6NBoVAgQJ6U1MVXOaj8PK2l7WJ3RER9xtqwdhxkhw/edit?usp=sharing"",""สุพรรณบุรี!J85"")"),53)</f>
        <v>53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IFERROR(__xludf.DUMMYFUNCTION("IMPORTRANGE(""https://docs.google.com/spreadsheets/d/1SX6NBoVAgQJ6U1MVXOaj8PK2l7WJ3RER9xtqwdhxkhw/edit?usp=sharing"",""สุพรรณบุรี!J86"")"),0)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IFERROR(__xludf.DUMMYFUNCTION("IMPORTRANGE(""https://docs.google.com/spreadsheets/d/1SX6NBoVAgQJ6U1MVXOaj8PK2l7WJ3RER9xtqwdhxkhw/edit?usp=sharing"",""สุพรรณบุรี!J87"")"),0)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IFERROR(__xludf.DUMMYFUNCTION("IMPORTRANGE(""https://docs.google.com/spreadsheets/d/1SX6NBoVAgQJ6U1MVXOaj8PK2l7WJ3RER9xtqwdhxkhw/edit?usp=sharing"",""สุพรรณบุรี!J88"")"),0)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IFERROR(__xludf.DUMMYFUNCTION("IMPORTRANGE(""https://docs.google.com/spreadsheets/d/1SX6NBoVAgQJ6U1MVXOaj8PK2l7WJ3RER9xtqwdhxkhw/edit?usp=sharing"",""สุพรรณบุรี!I89"")"),1)</f>
        <v>1</v>
      </c>
      <c r="J164" s="285">
        <f ca="1">IFERROR(__xludf.DUMMYFUNCTION("IMPORTRANGE(""https://docs.google.com/spreadsheets/d/1SX6NBoVAgQJ6U1MVXOaj8PK2l7WJ3RER9xtqwdhxkhw/edit?usp=sharing"",""สุพรรณบุรี!J89"")"),1)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IFERROR(__xludf.DUMMYFUNCTION("IMPORTRANGE(""https://docs.google.com/spreadsheets/d/1SX6NBoVAgQJ6U1MVXOaj8PK2l7WJ3RER9xtqwdhxkhw/edit?usp=sharing"",""สุพรรณบุรี!J94"")"),0)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IFERROR(__xludf.DUMMYFUNCTION("IMPORTRANGE(""https://docs.google.com/spreadsheets/d/1SX6NBoVAgQJ6U1MVXOaj8PK2l7WJ3RER9xtqwdhxkhw/edit?usp=sharing"",""สุพรรณบุรี!J95"")"),1)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IFERROR(__xludf.DUMMYFUNCTION("IMPORTRANGE(""https://docs.google.com/spreadsheets/d/1SX6NBoVAgQJ6U1MVXOaj8PK2l7WJ3RER9xtqwdhxkhw/edit?usp=sharing"",""สุพรรณบุรี!J96"")"),1)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IFERROR(__xludf.DUMMYFUNCTION("IMPORTRANGE(""https://docs.google.com/spreadsheets/d/1SX6NBoVAgQJ6U1MVXOaj8PK2l7WJ3RER9xtqwdhxkhw/edit?usp=sharing"",""สุพรรณบุรี!J97"")"),1)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IFERROR(__xludf.DUMMYFUNCTION("IMPORTRANGE(""https://docs.google.com/spreadsheets/d/1SX6NBoVAgQJ6U1MVXOaj8PK2l7WJ3RER9xtqwdhxkhw/edit?usp=sharing"",""สุพรรณบุรี!I98"")"),1)</f>
        <v>1</v>
      </c>
      <c r="J173" s="189">
        <f ca="1">IFERROR(__xludf.DUMMYFUNCTION("IMPORTRANGE(""https://docs.google.com/spreadsheets/d/1SX6NBoVAgQJ6U1MVXOaj8PK2l7WJ3RER9xtqwdhxkhw/edit?usp=sharing"",""สุพรรณบุรี!J98"")"),1)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IFERROR(__xludf.DUMMYFUNCTION("IMPORTRANGE(""https://docs.google.com/spreadsheets/d/1SX6NBoVAgQJ6U1MVXOaj8PK2l7WJ3RER9xtqwdhxkhw/edit?usp=sharing"",""สุพรรณบุรี!J99"")"),0)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IFERROR(__xludf.DUMMYFUNCTION("IMPORTRANGE(""https://docs.google.com/spreadsheets/d/1SX6NBoVAgQJ6U1MVXOaj8PK2l7WJ3RER9xtqwdhxkhw/edit?usp=sharing"",""สุพรรณบุรี!J100"")"),0)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IFERROR(__xludf.DUMMYFUNCTION("IMPORTRANGE(""https://docs.google.com/spreadsheets/d/1SX6NBoVAgQJ6U1MVXOaj8PK2l7WJ3RER9xtqwdhxkhw/edit?usp=sharing"",""สุพรรณบุรี!I101"")"),0)</f>
        <v>0</v>
      </c>
      <c r="J176" s="285">
        <f ca="1">IFERROR(__xludf.DUMMYFUNCTION("IMPORTRANGE(""https://docs.google.com/spreadsheets/d/1SX6NBoVAgQJ6U1MVXOaj8PK2l7WJ3RER9xtqwdhxkhw/edit?usp=sharing"",""สุพรรณบุรี!J101"")"),0)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IFERROR(__xludf.DUMMYFUNCTION("IMPORTRANGE(""https://docs.google.com/spreadsheets/d/1SX6NBoVAgQJ6U1MVXOaj8PK2l7WJ3RER9xtqwdhxkhw/edit?usp=sharing"",""สุพรรณบุรี!J106"")"),0)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IFERROR(__xludf.DUMMYFUNCTION("IMPORTRANGE(""https://docs.google.com/spreadsheets/d/1SX6NBoVAgQJ6U1MVXOaj8PK2l7WJ3RER9xtqwdhxkhw/edit?usp=sharing"",""สุพรรณบุรี!J107"")"),0)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IFERROR(__xludf.DUMMYFUNCTION("IMPORTRANGE(""https://docs.google.com/spreadsheets/d/1SX6NBoVAgQJ6U1MVXOaj8PK2l7WJ3RER9xtqwdhxkhw/edit?usp=sharing"",""สุพรรณบุรี!J108"")"),0)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IFERROR(__xludf.DUMMYFUNCTION("IMPORTRANGE(""https://docs.google.com/spreadsheets/d/1SX6NBoVAgQJ6U1MVXOaj8PK2l7WJ3RER9xtqwdhxkhw/edit?usp=sharing"",""สุพรรณบุรี!J109"")"),0)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IFERROR(__xludf.DUMMYFUNCTION("IMPORTRANGE(""https://docs.google.com/spreadsheets/d/1SX6NBoVAgQJ6U1MVXOaj8PK2l7WJ3RER9xtqwdhxkhw/edit?usp=sharing"",""สุพรรณบุรี!I110"")"),0)</f>
        <v>0</v>
      </c>
      <c r="J185" s="204">
        <f ca="1">IFERROR(__xludf.DUMMYFUNCTION("IMPORTRANGE(""https://docs.google.com/spreadsheets/d/1SX6NBoVAgQJ6U1MVXOaj8PK2l7WJ3RER9xtqwdhxkhw/edit?usp=sharing"",""สุพรรณบุรี!J110"")"),0)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IFERROR(__xludf.DUMMYFUNCTION("IMPORTRANGE(""https://docs.google.com/spreadsheets/d/1SX6NBoVAgQJ6U1MVXOaj8PK2l7WJ3RER9xtqwdhxkhw/edit?usp=sharing"",""สุพรรณบุรี!I111"")"),0)</f>
        <v>0</v>
      </c>
      <c r="J186" s="204">
        <f ca="1">IFERROR(__xludf.DUMMYFUNCTION("IMPORTRANGE(""https://docs.google.com/spreadsheets/d/1SX6NBoVAgQJ6U1MVXOaj8PK2l7WJ3RER9xtqwdhxkhw/edit?usp=sharing"",""สุพรรณบุรี!J111"")"),0)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IFERROR(__xludf.DUMMYFUNCTION("IMPORTRANGE(""https://docs.google.com/spreadsheets/d/1SX6NBoVAgQJ6U1MVXOaj8PK2l7WJ3RER9xtqwdhxkhw/edit?usp=sharing"",""สุพรรณบุรี!J112"")"),0)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IFERROR(__xludf.DUMMYFUNCTION("IMPORTRANGE(""https://docs.google.com/spreadsheets/d/1SX6NBoVAgQJ6U1MVXOaj8PK2l7WJ3RER9xtqwdhxkhw/edit?usp=sharing"",""สุพรรณบุรี!J113"")"),0)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IFERROR(__xludf.DUMMYFUNCTION("IMPORTRANGE(""https://docs.google.com/spreadsheets/d/1SX6NBoVAgQJ6U1MVXOaj8PK2l7WJ3RER9xtqwdhxkhw/edit?usp=sharing"",""สุพรรณบุรี!I114"")"),20000)</f>
        <v>20000</v>
      </c>
      <c r="J189" s="285">
        <f ca="1">IFERROR(__xludf.DUMMYFUNCTION("IMPORTRANGE(""https://docs.google.com/spreadsheets/d/1SX6NBoVAgQJ6U1MVXOaj8PK2l7WJ3RER9xtqwdhxkhw/edit?usp=sharing"",""สุพรรณบุรี!J114"")"),20000)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IFERROR(__xludf.DUMMYFUNCTION("IMPORTRANGE(""https://docs.google.com/spreadsheets/d/1SX6NBoVAgQJ6U1MVXOaj8PK2l7WJ3RER9xtqwdhxkhw/edit?usp=sharing"",""สุพรรณบุรี!J119"")"),0)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IFERROR(__xludf.DUMMYFUNCTION("IMPORTRANGE(""https://docs.google.com/spreadsheets/d/1SX6NBoVAgQJ6U1MVXOaj8PK2l7WJ3RER9xtqwdhxkhw/edit?usp=sharing"",""สุพรรณบุรี!J120"")"),1)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IFERROR(__xludf.DUMMYFUNCTION("IMPORTRANGE(""https://docs.google.com/spreadsheets/d/1SX6NBoVAgQJ6U1MVXOaj8PK2l7WJ3RER9xtqwdhxkhw/edit?usp=sharing"",""สุพรรณบุรี!J121"")"),1)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IFERROR(__xludf.DUMMYFUNCTION("IMPORTRANGE(""https://docs.google.com/spreadsheets/d/1SX6NBoVAgQJ6U1MVXOaj8PK2l7WJ3RER9xtqwdhxkhw/edit?usp=sharing"",""สุพรรณบุรี!J122"")"),1)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IFERROR(__xludf.DUMMYFUNCTION("IMPORTRANGE(""https://docs.google.com/spreadsheets/d/1SX6NBoVAgQJ6U1MVXOaj8PK2l7WJ3RER9xtqwdhxkhw/edit?usp=sharing"",""สุพรรณบุรี!I124"")"),20000)</f>
        <v>20000</v>
      </c>
      <c r="J199" s="189">
        <f ca="1">IFERROR(__xludf.DUMMYFUNCTION("IMPORTRANGE(""https://docs.google.com/spreadsheets/d/1SX6NBoVAgQJ6U1MVXOaj8PK2l7WJ3RER9xtqwdhxkhw/edit?usp=sharing"",""สุพรรณบุรี!J124"")"),20000)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IFERROR(__xludf.DUMMYFUNCTION("IMPORTRANGE(""https://docs.google.com/spreadsheets/d/1SX6NBoVAgQJ6U1MVXOaj8PK2l7WJ3RER9xtqwdhxkhw/edit?usp=sharing"",""สุพรรณบุรี!I125"")"),20000)</f>
        <v>20000</v>
      </c>
      <c r="J200" s="189">
        <f ca="1">IFERROR(__xludf.DUMMYFUNCTION("IMPORTRANGE(""https://docs.google.com/spreadsheets/d/1SX6NBoVAgQJ6U1MVXOaj8PK2l7WJ3RER9xtqwdhxkhw/edit?usp=sharing"",""สุพรรณบุรี!J125"")"),20000)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IFERROR(__xludf.DUMMYFUNCTION("IMPORTRANGE(""https://docs.google.com/spreadsheets/d/1SX6NBoVAgQJ6U1MVXOaj8PK2l7WJ3RER9xtqwdhxkhw/edit?usp=sharing"",""สุพรรณบุรี!I126"")"),0)</f>
        <v>0</v>
      </c>
      <c r="J201" s="189">
        <f ca="1">IFERROR(__xludf.DUMMYFUNCTION("IMPORTRANGE(""https://docs.google.com/spreadsheets/d/1SX6NBoVAgQJ6U1MVXOaj8PK2l7WJ3RER9xtqwdhxkhw/edit?usp=sharing"",""สุพรรณบุรี!J126"")"),0)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IFERROR(__xludf.DUMMYFUNCTION("IMPORTRANGE(""https://docs.google.com/spreadsheets/d/1SX6NBoVAgQJ6U1MVXOaj8PK2l7WJ3RER9xtqwdhxkhw/edit?usp=sharing"",""สุพรรณบุรี!J127"")"),0)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IFERROR(__xludf.DUMMYFUNCTION("IMPORTRANGE(""https://docs.google.com/spreadsheets/d/1SX6NBoVAgQJ6U1MVXOaj8PK2l7WJ3RER9xtqwdhxkhw/edit?usp=sharing"",""สุพรรณบุรี!J128"")"),0)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IFERROR(__xludf.DUMMYFUNCTION("IMPORTRANGE(""https://docs.google.com/spreadsheets/d/1SX6NBoVAgQJ6U1MVXOaj8PK2l7WJ3RER9xtqwdhxkhw/edit?usp=sharing"",""สุพรรณบุรี!I129"")"),0)</f>
        <v>0</v>
      </c>
      <c r="J204" s="285">
        <f ca="1">IFERROR(__xludf.DUMMYFUNCTION("IMPORTRANGE(""https://docs.google.com/spreadsheets/d/1SX6NBoVAgQJ6U1MVXOaj8PK2l7WJ3RER9xtqwdhxkhw/edit?usp=sharing"",""สุพรรณบุรี!J129"")"),0)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IFERROR(__xludf.DUMMYFUNCTION("IMPORTRANGE(""https://docs.google.com/spreadsheets/d/1SX6NBoVAgQJ6U1MVXOaj8PK2l7WJ3RER9xtqwdhxkhw/edit?usp=sharing"",""สุพรรณบุรี!J134"")"),0)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IFERROR(__xludf.DUMMYFUNCTION("IMPORTRANGE(""https://docs.google.com/spreadsheets/d/1SX6NBoVAgQJ6U1MVXOaj8PK2l7WJ3RER9xtqwdhxkhw/edit?usp=sharing"",""สุพรรณบุรี!J135"")"),0)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IFERROR(__xludf.DUMMYFUNCTION("IMPORTRANGE(""https://docs.google.com/spreadsheets/d/1SX6NBoVAgQJ6U1MVXOaj8PK2l7WJ3RER9xtqwdhxkhw/edit?usp=sharing"",""สุพรรณบุรี!J136"")"),0)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IFERROR(__xludf.DUMMYFUNCTION("IMPORTRANGE(""https://docs.google.com/spreadsheets/d/1SX6NBoVAgQJ6U1MVXOaj8PK2l7WJ3RER9xtqwdhxkhw/edit?usp=sharing"",""สุพรรณบุรี!J137"")"),0)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IFERROR(__xludf.DUMMYFUNCTION("IMPORTRANGE(""https://docs.google.com/spreadsheets/d/1SX6NBoVAgQJ6U1MVXOaj8PK2l7WJ3RER9xtqwdhxkhw/edit?usp=sharing"",""สุพรรณบุรี!I138"")"),0)</f>
        <v>0</v>
      </c>
      <c r="J213" s="204">
        <f ca="1">IFERROR(__xludf.DUMMYFUNCTION("IMPORTRANGE(""https://docs.google.com/spreadsheets/d/1SX6NBoVAgQJ6U1MVXOaj8PK2l7WJ3RER9xtqwdhxkhw/edit?usp=sharing"",""สุพรรณบุรี!J138"")"),0)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IFERROR(__xludf.DUMMYFUNCTION("IMPORTRANGE(""https://docs.google.com/spreadsheets/d/1SX6NBoVAgQJ6U1MVXOaj8PK2l7WJ3RER9xtqwdhxkhw/edit?usp=sharing"",""สุพรรณบุรี!I140"")"),0)</f>
        <v>0</v>
      </c>
      <c r="J215" s="204">
        <f ca="1">IFERROR(__xludf.DUMMYFUNCTION("IMPORTRANGE(""https://docs.google.com/spreadsheets/d/1SX6NBoVAgQJ6U1MVXOaj8PK2l7WJ3RER9xtqwdhxkhw/edit?usp=sharing"",""สุพรรณบุรี!J140"")"),0)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IFERROR(__xludf.DUMMYFUNCTION("IMPORTRANGE(""https://docs.google.com/spreadsheets/d/1SX6NBoVAgQJ6U1MVXOaj8PK2l7WJ3RER9xtqwdhxkhw/edit?usp=sharing"",""สุพรรณบุรี!I141"")"),0)</f>
        <v>0</v>
      </c>
      <c r="J216" s="204">
        <f ca="1">IFERROR(__xludf.DUMMYFUNCTION("IMPORTRANGE(""https://docs.google.com/spreadsheets/d/1SX6NBoVAgQJ6U1MVXOaj8PK2l7WJ3RER9xtqwdhxkhw/edit?usp=sharing"",""สุพรรณบุรี!J141"")"),0)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IFERROR(__xludf.DUMMYFUNCTION("IMPORTRANGE(""https://docs.google.com/spreadsheets/d/1SX6NBoVAgQJ6U1MVXOaj8PK2l7WJ3RER9xtqwdhxkhw/edit?usp=sharing"",""สุพรรณบุรี!J142"")"),0)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IFERROR(__xludf.DUMMYFUNCTION("IMPORTRANGE(""https://docs.google.com/spreadsheets/d/1SX6NBoVAgQJ6U1MVXOaj8PK2l7WJ3RER9xtqwdhxkhw/edit?usp=sharing"",""สุพรรณบุรี!J143"")"),0)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IFERROR(__xludf.DUMMYFUNCTION("IMPORTRANGE(""https://docs.google.com/spreadsheets/d/1SX6NBoVAgQJ6U1MVXOaj8PK2l7WJ3RER9xtqwdhxkhw/edit?usp=sharing"",""สุพรรณบุรี!I144"")"),15)</f>
        <v>15</v>
      </c>
      <c r="J219" s="268">
        <f ca="1">IFERROR(__xludf.DUMMYFUNCTION("IMPORTRANGE(""https://docs.google.com/spreadsheets/d/1SX6NBoVAgQJ6U1MVXOaj8PK2l7WJ3RER9xtqwdhxkhw/edit?usp=sharing"",""สุพรรณบุรี!J144"")"),15)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IFERROR(__xludf.DUMMYFUNCTION("IMPORTRANGE(""https://docs.google.com/spreadsheets/d/1Yj_ptqi66GCucihVvJfMjLAmec39IyEx_6qawtMGysU/edit?usp=sharing"",""สบก!BS78"")"),21125)</f>
        <v>21125</v>
      </c>
      <c r="N224" s="169">
        <f ca="1">IFERROR(__xludf.DUMMYFUNCTION("IMPORTRANGE(""https://docs.google.com/spreadsheets/d/1Yj_ptqi66GCucihVvJfMjLAmec39IyEx_6qawtMGysU/edit?usp=sharing"",""สบก!BT78"")"),21125)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IFERROR(__xludf.DUMMYFUNCTION("IMPORTRANGE(""https://docs.google.com/spreadsheets/d/1Yj_ptqi66GCucihVvJfMjLAmec39IyEx_6qawtMGysU/edit?usp=sharing"",""สบก!BQ78"")"),0)</f>
        <v>0</v>
      </c>
      <c r="M228" s="49"/>
      <c r="N228" s="49">
        <f ca="1">IFERROR(__xludf.DUMMYFUNCTION("IMPORTRANGE(""https://docs.google.com/spreadsheets/d/1Yj_ptqi66GCucihVvJfMjLAmec39IyEx_6qawtMGysU/edit?usp=sharing"",""สบก!BU78"")"),0)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IFERROR(__xludf.DUMMYFUNCTION("IMPORTRANGE(""https://docs.google.com/spreadsheets/d/1SX6NBoVAgQJ6U1MVXOaj8PK2l7WJ3RER9xtqwdhxkhw/edit?usp=sharing"",""สุพรรณบุรี!I149"")"),15)</f>
        <v>15</v>
      </c>
      <c r="J229" s="268">
        <f ca="1">IFERROR(__xludf.DUMMYFUNCTION("IMPORTRANGE(""https://docs.google.com/spreadsheets/d/1SX6NBoVAgQJ6U1MVXOaj8PK2l7WJ3RER9xtqwdhxkhw/edit?usp=sharing"",""สุพรรณบุรี!J149"")"),15)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IFERROR(__xludf.DUMMYFUNCTION("IMPORTRANGE(""https://docs.google.com/spreadsheets/d/1SX6NBoVAgQJ6U1MVXOaj8PK2l7WJ3RER9xtqwdhxkhw/edit?usp=sharing"",""สุพรรณบุรี!J151"")"),0)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IFERROR(__xludf.DUMMYFUNCTION("IMPORTRANGE(""https://docs.google.com/spreadsheets/d/1SX6NBoVAgQJ6U1MVXOaj8PK2l7WJ3RER9xtqwdhxkhw/edit?usp=sharing"",""สุพรรณบุรี!J152"")"),1)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IFERROR(__xludf.DUMMYFUNCTION("IMPORTRANGE(""https://docs.google.com/spreadsheets/d/1SX6NBoVAgQJ6U1MVXOaj8PK2l7WJ3RER9xtqwdhxkhw/edit?usp=sharing"",""สุพรรณบุรี!J153"")"),1)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IFERROR(__xludf.DUMMYFUNCTION("IMPORTRANGE(""https://docs.google.com/spreadsheets/d/1SX6NBoVAgQJ6U1MVXOaj8PK2l7WJ3RER9xtqwdhxkhw/edit?usp=sharing"",""สุพรรณบุรี!J154"")"),1)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IFERROR(__xludf.DUMMYFUNCTION("IMPORTRANGE(""https://docs.google.com/spreadsheets/d/1SX6NBoVAgQJ6U1MVXOaj8PK2l7WJ3RER9xtqwdhxkhw/edit?usp=sharing"",""สุพรรณบุรี!I155"")"),15)</f>
        <v>15</v>
      </c>
      <c r="J235" s="189">
        <f ca="1">IFERROR(__xludf.DUMMYFUNCTION("IMPORTRANGE(""https://docs.google.com/spreadsheets/d/1SX6NBoVAgQJ6U1MVXOaj8PK2l7WJ3RER9xtqwdhxkhw/edit?usp=sharing"",""สุพรรณบุรี!J155"")"),15)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IFERROR(__xludf.DUMMYFUNCTION("IMPORTRANGE(""https://docs.google.com/spreadsheets/d/1SX6NBoVAgQJ6U1MVXOaj8PK2l7WJ3RER9xtqwdhxkhw/edit?usp=sharing"",""สุพรรณบุรี!J156"")"),0)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IFERROR(__xludf.DUMMYFUNCTION("IMPORTRANGE(""https://docs.google.com/spreadsheets/d/1SX6NBoVAgQJ6U1MVXOaj8PK2l7WJ3RER9xtqwdhxkhw/edit?usp=sharing"",""สุพรรณบุรี!J157"")"),0)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IFERROR(__xludf.DUMMYFUNCTION("IMPORTRANGE(""https://docs.google.com/spreadsheets/d/1SX6NBoVAgQJ6U1MVXOaj8PK2l7WJ3RER9xtqwdhxkhw/edit?usp=sharing"",""สุพรรณบุรี!I158"")"),0)</f>
        <v>0</v>
      </c>
      <c r="J238" s="268">
        <f ca="1">IFERROR(__xludf.DUMMYFUNCTION("IMPORTRANGE(""https://docs.google.com/spreadsheets/d/1SX6NBoVAgQJ6U1MVXOaj8PK2l7WJ3RER9xtqwdhxkhw/edit?usp=sharing"",""สุพรรณบุรี!J158"")"),0)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IFERROR(__xludf.DUMMYFUNCTION("IMPORTRANGE(""https://docs.google.com/spreadsheets/d/1SX6NBoVAgQJ6U1MVXOaj8PK2l7WJ3RER9xtqwdhxkhw/edit?usp=sharing"",""สุพรรณบุรี!J159"")"),"")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IFERROR(__xludf.DUMMYFUNCTION("IMPORTRANGE(""https://docs.google.com/spreadsheets/d/1SX6NBoVAgQJ6U1MVXOaj8PK2l7WJ3RER9xtqwdhxkhw/edit?usp=sharing"",""สุพรรณบุรี!J161"")"),0)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IFERROR(__xludf.DUMMYFUNCTION("IMPORTRANGE(""https://docs.google.com/spreadsheets/d/1SX6NBoVAgQJ6U1MVXOaj8PK2l7WJ3RER9xtqwdhxkhw/edit?usp=sharing"",""สุพรรณบุรี!J162"")"),0)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IFERROR(__xludf.DUMMYFUNCTION("IMPORTRANGE(""https://docs.google.com/spreadsheets/d/1SX6NBoVAgQJ6U1MVXOaj8PK2l7WJ3RER9xtqwdhxkhw/edit?usp=sharing"",""สุพรรณบุรี!J163"")"),0)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IFERROR(__xludf.DUMMYFUNCTION("IMPORTRANGE(""https://docs.google.com/spreadsheets/d/1SX6NBoVAgQJ6U1MVXOaj8PK2l7WJ3RER9xtqwdhxkhw/edit?usp=sharing"",""สุพรรณบุรี!I164"")"),0)</f>
        <v>0</v>
      </c>
      <c r="J244" s="188">
        <f ca="1">IFERROR(__xludf.DUMMYFUNCTION("IMPORTRANGE(""https://docs.google.com/spreadsheets/d/1SX6NBoVAgQJ6U1MVXOaj8PK2l7WJ3RER9xtqwdhxkhw/edit?usp=sharing"",""สุพรรณบุรี!J164"")"),0)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IFERROR(__xludf.DUMMYFUNCTION("IMPORTRANGE(""https://docs.google.com/spreadsheets/d/1SX6NBoVAgQJ6U1MVXOaj8PK2l7WJ3RER9xtqwdhxkhw/edit?usp=sharing"",""สุพรรณบุรี!J165"")"),0)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IFERROR(__xludf.DUMMYFUNCTION("IMPORTRANGE(""https://docs.google.com/spreadsheets/d/1SX6NBoVAgQJ6U1MVXOaj8PK2l7WJ3RER9xtqwdhxkhw/edit?usp=sharing"",""สุพรรณบุรี!J166"")"),0)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IFERROR(__xludf.DUMMYFUNCTION("IMPORTRANGE(""https://docs.google.com/spreadsheets/d/1SX6NBoVAgQJ6U1MVXOaj8PK2l7WJ3RER9xtqwdhxkhw/edit?usp=sharing"",""สุพรรณบุรี!I169"")"),20)</f>
        <v>20</v>
      </c>
      <c r="J249" s="317">
        <f ca="1">IFERROR(__xludf.DUMMYFUNCTION("IMPORTRANGE(""https://docs.google.com/spreadsheets/d/1SX6NBoVAgQJ6U1MVXOaj8PK2l7WJ3RER9xtqwdhxkhw/edit?usp=sharing"",""สุพรรณบุรี!J169"")"),20)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40140</v>
      </c>
      <c r="O250" s="151">
        <f t="shared" ref="O250:O252" ca="1" si="78">IF(L250&gt;0,N250*100/L250,0)</f>
        <v>56.218487394957982</v>
      </c>
      <c r="P250" s="151">
        <f t="shared" ref="P250:P252" ca="1" si="79">IF(M250&gt;0,N250*100/M250,0)</f>
        <v>56.218487394957982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40140</v>
      </c>
      <c r="O252" s="156">
        <f t="shared" ca="1" si="78"/>
        <v>56.218487394957982</v>
      </c>
      <c r="P252" s="156">
        <f t="shared" ca="1" si="79"/>
        <v>56.218487394957982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IFERROR(__xludf.DUMMYFUNCTION("IMPORTRANGE(""https://docs.google.com/spreadsheets/d/1Yj_ptqi66GCucihVvJfMjLAmec39IyEx_6qawtMGysU/edit?usp=sharing"",""สบก!CB78"")"),71400)</f>
        <v>71400</v>
      </c>
      <c r="N254" s="169">
        <f ca="1">IFERROR(__xludf.DUMMYFUNCTION("IMPORTRANGE(""https://docs.google.com/spreadsheets/d/1Yj_ptqi66GCucihVvJfMjLAmec39IyEx_6qawtMGysU/edit?usp=sharing"",""สบก!CC78"")"),40140)</f>
        <v>40140</v>
      </c>
      <c r="O254" s="169">
        <f ca="1">IF(L254&gt;0,N254*100/L254,0)</f>
        <v>56.218487394957982</v>
      </c>
      <c r="P254" s="169">
        <f ca="1">IF(M254&gt;0,N254*100/M254,0)</f>
        <v>56.218487394957982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IFERROR(__xludf.DUMMYFUNCTION("IMPORTRANGE(""https://docs.google.com/spreadsheets/d/1Yj_ptqi66GCucihVvJfMjLAmec39IyEx_6qawtMGysU/edit?usp=sharing"",""สบก!BZ78"")"),0)</f>
        <v>0</v>
      </c>
      <c r="M258" s="49"/>
      <c r="N258" s="49">
        <f ca="1">IFERROR(__xludf.DUMMYFUNCTION("IMPORTRANGE(""https://docs.google.com/spreadsheets/d/1Yj_ptqi66GCucihVvJfMjLAmec39IyEx_6qawtMGysU/edit?usp=sharing"",""สบก!CD78"")"),0)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IFERROR(__xludf.DUMMYFUNCTION("IMPORTRANGE(""https://docs.google.com/spreadsheets/d/1SX6NBoVAgQJ6U1MVXOaj8PK2l7WJ3RER9xtqwdhxkhw/edit?usp=sharing"",""สุพรรณบุรี!J175"")"),0)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IFERROR(__xludf.DUMMYFUNCTION("IMPORTRANGE(""https://docs.google.com/spreadsheets/d/1SX6NBoVAgQJ6U1MVXOaj8PK2l7WJ3RER9xtqwdhxkhw/edit?usp=sharing"",""สุพรรณบุรี!J176"")"),1)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IFERROR(__xludf.DUMMYFUNCTION("IMPORTRANGE(""https://docs.google.com/spreadsheets/d/1SX6NBoVAgQJ6U1MVXOaj8PK2l7WJ3RER9xtqwdhxkhw/edit?usp=sharing"",""สุพรรณบุรี!J177"")"),1)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IFERROR(__xludf.DUMMYFUNCTION("IMPORTRANGE(""https://docs.google.com/spreadsheets/d/1SX6NBoVAgQJ6U1MVXOaj8PK2l7WJ3RER9xtqwdhxkhw/edit?usp=sharing"",""สุพรรณบุรี!J178"")"),1)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IFERROR(__xludf.DUMMYFUNCTION("IMPORTRANGE(""https://docs.google.com/spreadsheets/d/1SX6NBoVAgQJ6U1MVXOaj8PK2l7WJ3RER9xtqwdhxkhw/edit?usp=sharing"",""สุพรรณบุรี!I179"")"),1)</f>
        <v>1</v>
      </c>
      <c r="J264" s="189">
        <f ca="1">IFERROR(__xludf.DUMMYFUNCTION("IMPORTRANGE(""https://docs.google.com/spreadsheets/d/1SX6NBoVAgQJ6U1MVXOaj8PK2l7WJ3RER9xtqwdhxkhw/edit?usp=sharing"",""สุพรรณบุรี!J179"")"),1)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IFERROR(__xludf.DUMMYFUNCTION("IMPORTRANGE(""https://docs.google.com/spreadsheets/d/1SX6NBoVAgQJ6U1MVXOaj8PK2l7WJ3RER9xtqwdhxkhw/edit?usp=sharing"",""สุพรรณบุรี!I180"")"),20)</f>
        <v>20</v>
      </c>
      <c r="J265" s="189">
        <f ca="1">IFERROR(__xludf.DUMMYFUNCTION("IMPORTRANGE(""https://docs.google.com/spreadsheets/d/1SX6NBoVAgQJ6U1MVXOaj8PK2l7WJ3RER9xtqwdhxkhw/edit?usp=sharing"",""สุพรรณบุรี!J180"")"),20)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IFERROR(__xludf.DUMMYFUNCTION("IMPORTRANGE(""https://docs.google.com/spreadsheets/d/1SX6NBoVAgQJ6U1MVXOaj8PK2l7WJ3RER9xtqwdhxkhw/edit?usp=sharing"",""สุพรรณบุรี!I181"")"),20)</f>
        <v>20</v>
      </c>
      <c r="J266" s="189">
        <f ca="1">IFERROR(__xludf.DUMMYFUNCTION("IMPORTRANGE(""https://docs.google.com/spreadsheets/d/1SX6NBoVAgQJ6U1MVXOaj8PK2l7WJ3RER9xtqwdhxkhw/edit?usp=sharing"",""สุพรรณบุรี!J181"")"),0)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IFERROR(__xludf.DUMMYFUNCTION("IMPORTRANGE(""https://docs.google.com/spreadsheets/d/1SX6NBoVAgQJ6U1MVXOaj8PK2l7WJ3RER9xtqwdhxkhw/edit?usp=sharing"",""สุพรรณบุรี!I182"")"),1)</f>
        <v>1</v>
      </c>
      <c r="J267" s="189">
        <f ca="1">IFERROR(__xludf.DUMMYFUNCTION("IMPORTRANGE(""https://docs.google.com/spreadsheets/d/1SX6NBoVAgQJ6U1MVXOaj8PK2l7WJ3RER9xtqwdhxkhw/edit?usp=sharing"",""สุพรรณบุรี!J182"")"),1)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IFERROR(__xludf.DUMMYFUNCTION("IMPORTRANGE(""https://docs.google.com/spreadsheets/d/1SX6NBoVAgQJ6U1MVXOaj8PK2l7WJ3RER9xtqwdhxkhw/edit?usp=sharing"",""สุพรรณบุรี!J183"")"),0)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IFERROR(__xludf.DUMMYFUNCTION("IMPORTRANGE(""https://docs.google.com/spreadsheets/d/1SX6NBoVAgQJ6U1MVXOaj8PK2l7WJ3RER9xtqwdhxkhw/edit?usp=sharing"",""สุพรรณบุรี!J184"")"),0)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IFERROR(__xludf.DUMMYFUNCTION("IMPORTRANGE(""https://docs.google.com/spreadsheets/d/1SX6NBoVAgQJ6U1MVXOaj8PK2l7WJ3RER9xtqwdhxkhw/edit?usp=sharing"",""สุพรรณบุรี!I185"")"),15)</f>
        <v>15</v>
      </c>
      <c r="J270" s="317">
        <f ca="1">IFERROR(__xludf.DUMMYFUNCTION("IMPORTRANGE(""https://docs.google.com/spreadsheets/d/1SX6NBoVAgQJ6U1MVXOaj8PK2l7WJ3RER9xtqwdhxkhw/edit?usp=sharing"",""สุพรรณบุรี!J185"")"),15)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83690.100000000006</v>
      </c>
      <c r="O271" s="151">
        <f t="shared" ref="O271:O273" ca="1" si="84">IF(L271&gt;0,N271*100/L271,0)</f>
        <v>79.177010406811746</v>
      </c>
      <c r="P271" s="151">
        <f t="shared" ref="P271:P273" ca="1" si="85">IF(M271&gt;0,N271*100/M271,0)</f>
        <v>79.177010406811746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105700</v>
      </c>
      <c r="M273" s="157">
        <f t="shared" ca="1" si="87"/>
        <v>105700</v>
      </c>
      <c r="N273" s="157">
        <f t="shared" ca="1" si="87"/>
        <v>83690.100000000006</v>
      </c>
      <c r="O273" s="156">
        <f t="shared" ca="1" si="84"/>
        <v>79.177010406811746</v>
      </c>
      <c r="P273" s="156">
        <f t="shared" ca="1" si="85"/>
        <v>79.177010406811746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105700</v>
      </c>
      <c r="M275" s="168">
        <f ca="1">IFERROR(__xludf.DUMMYFUNCTION("IMPORTRANGE(""https://docs.google.com/spreadsheets/d/1Yj_ptqi66GCucihVvJfMjLAmec39IyEx_6qawtMGysU/edit?usp=sharing"",""สบก!CK78"")"),105700)</f>
        <v>105700</v>
      </c>
      <c r="N275" s="169">
        <f ca="1">IFERROR(__xludf.DUMMYFUNCTION("IMPORTRANGE(""https://docs.google.com/spreadsheets/d/1Yj_ptqi66GCucihVvJfMjLAmec39IyEx_6qawtMGysU/edit?usp=sharing"",""สบก!CL78"")"),83690.1)</f>
        <v>83690.100000000006</v>
      </c>
      <c r="O275" s="169">
        <f ca="1">IF(L275&gt;0,N275*100/L275,0)</f>
        <v>79.177010406811746</v>
      </c>
      <c r="P275" s="169">
        <f ca="1">IF(M275&gt;0,N275*100/M275,0)</f>
        <v>79.177010406811746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IFERROR(__xludf.DUMMYFUNCTION("IMPORTRANGE(""https://docs.google.com/spreadsheets/d/1Yj_ptqi66GCucihVvJfMjLAmec39IyEx_6qawtMGysU/edit?usp=sharing"",""สบก!CH78"")"),105700)</f>
        <v>105700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IFERROR(__xludf.DUMMYFUNCTION("IMPORTRANGE(""https://docs.google.com/spreadsheets/d/1Yj_ptqi66GCucihVvJfMjLAmec39IyEx_6qawtMGysU/edit?usp=sharing"",""สบก!CI78"")"),0)</f>
        <v>0</v>
      </c>
      <c r="M279" s="49"/>
      <c r="N279" s="49">
        <f ca="1">IFERROR(__xludf.DUMMYFUNCTION("IMPORTRANGE(""https://docs.google.com/spreadsheets/d/1Yj_ptqi66GCucihVvJfMjLAmec39IyEx_6qawtMGysU/edit?usp=sharing"",""สบก!CM78"")"),0)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IFERROR(__xludf.DUMMYFUNCTION("IMPORTRANGE(""https://docs.google.com/spreadsheets/d/1SX6NBoVAgQJ6U1MVXOaj8PK2l7WJ3RER9xtqwdhxkhw/edit?usp=sharing"",""สุพรรณบุรี!J191"")"),0)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IFERROR(__xludf.DUMMYFUNCTION("IMPORTRANGE(""https://docs.google.com/spreadsheets/d/1SX6NBoVAgQJ6U1MVXOaj8PK2l7WJ3RER9xtqwdhxkhw/edit?usp=sharing"",""สุพรรณบุรี!J192"")"),1)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IFERROR(__xludf.DUMMYFUNCTION("IMPORTRANGE(""https://docs.google.com/spreadsheets/d/1SX6NBoVAgQJ6U1MVXOaj8PK2l7WJ3RER9xtqwdhxkhw/edit?usp=sharing"",""สุพรรณบุรี!J193"")"),1)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IFERROR(__xludf.DUMMYFUNCTION("IMPORTRANGE(""https://docs.google.com/spreadsheets/d/1SX6NBoVAgQJ6U1MVXOaj8PK2l7WJ3RER9xtqwdhxkhw/edit?usp=sharing"",""สุพรรณบุรี!J194"")"),1)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IFERROR(__xludf.DUMMYFUNCTION("IMPORTRANGE(""https://docs.google.com/spreadsheets/d/1SX6NBoVAgQJ6U1MVXOaj8PK2l7WJ3RER9xtqwdhxkhw/edit?usp=sharing"",""สุพรรณบุรี!I195"")"),15)</f>
        <v>15</v>
      </c>
      <c r="J285" s="189">
        <f ca="1">IFERROR(__xludf.DUMMYFUNCTION("IMPORTRANGE(""https://docs.google.com/spreadsheets/d/1SX6NBoVAgQJ6U1MVXOaj8PK2l7WJ3RER9xtqwdhxkhw/edit?usp=sharing"",""สุพรรณบุรี!J195"")"),15)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IFERROR(__xludf.DUMMYFUNCTION("IMPORTRANGE(""https://docs.google.com/spreadsheets/d/1SX6NBoVAgQJ6U1MVXOaj8PK2l7WJ3RER9xtqwdhxkhw/edit?usp=sharing"",""สุพรรณบุรี!J196"")"),0)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IFERROR(__xludf.DUMMYFUNCTION("IMPORTRANGE(""https://docs.google.com/spreadsheets/d/1SX6NBoVAgQJ6U1MVXOaj8PK2l7WJ3RER9xtqwdhxkhw/edit?usp=sharing"",""สุพรรณบุรี!J197"")"),0)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IFERROR(__xludf.DUMMYFUNCTION("IMPORTRANGE(""https://docs.google.com/spreadsheets/d/1SX6NBoVAgQJ6U1MVXOaj8PK2l7WJ3RER9xtqwdhxkhw/edit?usp=sharing"",""สุพรรณบุรี!I199"")"),0)</f>
        <v>0</v>
      </c>
      <c r="J289" s="317">
        <f ca="1">IFERROR(__xludf.DUMMYFUNCTION("IMPORTRANGE(""https://docs.google.com/spreadsheets/d/1SX6NBoVAgQJ6U1MVXOaj8PK2l7WJ3RER9xtqwdhxkhw/edit?usp=sharing"",""สุพรรณบุรี!J199"")"),0)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IFERROR(__xludf.DUMMYFUNCTION("IMPORTRANGE(""https://docs.google.com/spreadsheets/d/1Yj_ptqi66GCucihVvJfMjLAmec39IyEx_6qawtMGysU/edit?usp=sharing"",""สบก!CT78"")"),0)</f>
        <v>0</v>
      </c>
      <c r="N294" s="169">
        <f ca="1">IFERROR(__xludf.DUMMYFUNCTION("IMPORTRANGE(""https://docs.google.com/spreadsheets/d/1Yj_ptqi66GCucihVvJfMjLAmec39IyEx_6qawtMGysU/edit?usp=sharing"",""สบก!CU78"")"),0)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IFERROR(__xludf.DUMMYFUNCTION("IMPORTRANGE(""https://docs.google.com/spreadsheets/d/1Yj_ptqi66GCucihVvJfMjLAmec39IyEx_6qawtMGysU/edit?usp=sharing"",""สบก!CR78"")"),0)</f>
        <v>0</v>
      </c>
      <c r="M298" s="49"/>
      <c r="N298" s="49">
        <f ca="1">IFERROR(__xludf.DUMMYFUNCTION("IMPORTRANGE(""https://docs.google.com/spreadsheets/d/1Yj_ptqi66GCucihVvJfMjLAmec39IyEx_6qawtMGysU/edit?usp=sharing"",""สบก!CV78"")"),0)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IFERROR(__xludf.DUMMYFUNCTION("IMPORTRANGE(""https://docs.google.com/spreadsheets/d/1SX6NBoVAgQJ6U1MVXOaj8PK2l7WJ3RER9xtqwdhxkhw/edit?usp=sharing"",""สุพรรณบุรี!J205"")"),0)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IFERROR(__xludf.DUMMYFUNCTION("IMPORTRANGE(""https://docs.google.com/spreadsheets/d/1SX6NBoVAgQJ6U1MVXOaj8PK2l7WJ3RER9xtqwdhxkhw/edit?usp=sharing"",""สุพรรณบุรี!J206"")"),0)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IFERROR(__xludf.DUMMYFUNCTION("IMPORTRANGE(""https://docs.google.com/spreadsheets/d/1SX6NBoVAgQJ6U1MVXOaj8PK2l7WJ3RER9xtqwdhxkhw/edit?usp=sharing"",""สุพรรณบุรี!J207"")"),0)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IFERROR(__xludf.DUMMYFUNCTION("IMPORTRANGE(""https://docs.google.com/spreadsheets/d/1SX6NBoVAgQJ6U1MVXOaj8PK2l7WJ3RER9xtqwdhxkhw/edit?usp=sharing"",""สุพรรณบุรี!J208"")"),0)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IFERROR(__xludf.DUMMYFUNCTION("IMPORTRANGE(""https://docs.google.com/spreadsheets/d/1SX6NBoVAgQJ6U1MVXOaj8PK2l7WJ3RER9xtqwdhxkhw/edit?usp=sharing"",""สุพรรณบุรี!I209"")"),0)</f>
        <v>0</v>
      </c>
      <c r="J304" s="204">
        <f ca="1">IFERROR(__xludf.DUMMYFUNCTION("IMPORTRANGE(""https://docs.google.com/spreadsheets/d/1SX6NBoVAgQJ6U1MVXOaj8PK2l7WJ3RER9xtqwdhxkhw/edit?usp=sharing"",""สุพรรณบุรี!J209"")"),0)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IFERROR(__xludf.DUMMYFUNCTION("IMPORTRANGE(""https://docs.google.com/spreadsheets/d/1SX6NBoVAgQJ6U1MVXOaj8PK2l7WJ3RER9xtqwdhxkhw/edit?usp=sharing"",""สุพรรณบุรี!I211"")"),0)</f>
        <v>0</v>
      </c>
      <c r="J306" s="204">
        <f ca="1">IFERROR(__xludf.DUMMYFUNCTION("IMPORTRANGE(""https://docs.google.com/spreadsheets/d/1SX6NBoVAgQJ6U1MVXOaj8PK2l7WJ3RER9xtqwdhxkhw/edit?usp=sharing"",""สุพรรณบุรี!J211"")"),0)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IFERROR(__xludf.DUMMYFUNCTION("IMPORTRANGE(""https://docs.google.com/spreadsheets/d/1SX6NBoVAgQJ6U1MVXOaj8PK2l7WJ3RER9xtqwdhxkhw/edit?usp=sharing"",""สุพรรณบุรี!J212"")"),0)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IFERROR(__xludf.DUMMYFUNCTION("IMPORTRANGE(""https://docs.google.com/spreadsheets/d/1SX6NBoVAgQJ6U1MVXOaj8PK2l7WJ3RER9xtqwdhxkhw/edit?usp=sharing"",""สุพรรณบุรี!J213"")"),0)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IFERROR(__xludf.DUMMYFUNCTION("IMPORTRANGE(""https://docs.google.com/spreadsheets/d/1SX6NBoVAgQJ6U1MVXOaj8PK2l7WJ3RER9xtqwdhxkhw/edit?usp=sharing"",""สุพรรณบุรี!I214"")"),0)</f>
        <v>0</v>
      </c>
      <c r="J309" s="334">
        <f ca="1">IFERROR(__xludf.DUMMYFUNCTION("IMPORTRANGE(""https://docs.google.com/spreadsheets/d/1SX6NBoVAgQJ6U1MVXOaj8PK2l7WJ3RER9xtqwdhxkhw/edit?usp=sharing"",""สุพรรณบุรี!J214"")"),0)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IFERROR(__xludf.DUMMYFUNCTION("IMPORTRANGE(""https://docs.google.com/spreadsheets/d/1Yj_ptqi66GCucihVvJfMjLAmec39IyEx_6qawtMGysU/edit?usp=sharing"",""สบก!DC78"")"),0)</f>
        <v>0</v>
      </c>
      <c r="N314" s="169">
        <f ca="1">IFERROR(__xludf.DUMMYFUNCTION("IMPORTRANGE(""https://docs.google.com/spreadsheets/d/1Yj_ptqi66GCucihVvJfMjLAmec39IyEx_6qawtMGysU/edit?usp=sharing"",""สบก!DD78"")"),0)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IFERROR(__xludf.DUMMYFUNCTION("IMPORTRANGE(""https://docs.google.com/spreadsheets/d/1Yj_ptqi66GCucihVvJfMjLAmec39IyEx_6qawtMGysU/edit?usp=sharing"",""สบก!DA78"")"),0)</f>
        <v>0</v>
      </c>
      <c r="M318" s="49"/>
      <c r="N318" s="49">
        <f ca="1">IFERROR(__xludf.DUMMYFUNCTION("IMPORTRANGE(""https://docs.google.com/spreadsheets/d/1Yj_ptqi66GCucihVvJfMjLAmec39IyEx_6qawtMGysU/edit?usp=sharing"",""สบก!DE78"")"),0)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IFERROR(__xludf.DUMMYFUNCTION("IMPORTRANGE(""https://docs.google.com/spreadsheets/d/1SX6NBoVAgQJ6U1MVXOaj8PK2l7WJ3RER9xtqwdhxkhw/edit?usp=sharing"",""สุพรรณบุรี!J220"")"),0)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IFERROR(__xludf.DUMMYFUNCTION("IMPORTRANGE(""https://docs.google.com/spreadsheets/d/1SX6NBoVAgQJ6U1MVXOaj8PK2l7WJ3RER9xtqwdhxkhw/edit?usp=sharing"",""สุพรรณบุรี!J221"")"),0)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IFERROR(__xludf.DUMMYFUNCTION("IMPORTRANGE(""https://docs.google.com/spreadsheets/d/1SX6NBoVAgQJ6U1MVXOaj8PK2l7WJ3RER9xtqwdhxkhw/edit?usp=sharing"",""สุพรรณบุรี!J222"")"),0)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IFERROR(__xludf.DUMMYFUNCTION("IMPORTRANGE(""https://docs.google.com/spreadsheets/d/1SX6NBoVAgQJ6U1MVXOaj8PK2l7WJ3RER9xtqwdhxkhw/edit?usp=sharing"",""สุพรรณบุรี!J223"")"),0)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IFERROR(__xludf.DUMMYFUNCTION("IMPORTRANGE(""https://docs.google.com/spreadsheets/d/1SX6NBoVAgQJ6U1MVXOaj8PK2l7WJ3RER9xtqwdhxkhw/edit?usp=sharing"",""สุพรรณบุรี!I224"")"),0)</f>
        <v>0</v>
      </c>
      <c r="J324" s="204">
        <f ca="1">IFERROR(__xludf.DUMMYFUNCTION("IMPORTRANGE(""https://docs.google.com/spreadsheets/d/1SX6NBoVAgQJ6U1MVXOaj8PK2l7WJ3RER9xtqwdhxkhw/edit?usp=sharing"",""สุพรรณบุรี!J224"")"),0)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IFERROR(__xludf.DUMMYFUNCTION("IMPORTRANGE(""https://docs.google.com/spreadsheets/d/1SX6NBoVAgQJ6U1MVXOaj8PK2l7WJ3RER9xtqwdhxkhw/edit?usp=sharing"",""สุพรรณบุรี!J225"")"),0)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IFERROR(__xludf.DUMMYFUNCTION("IMPORTRANGE(""https://docs.google.com/spreadsheets/d/1SX6NBoVAgQJ6U1MVXOaj8PK2l7WJ3RER9xtqwdhxkhw/edit?usp=sharing"",""สุพรรณบุรี!J226"")"),0)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IFERROR(__xludf.DUMMYFUNCTION("IMPORTRANGE(""https://docs.google.com/spreadsheets/d/1SX6NBoVAgQJ6U1MVXOaj8PK2l7WJ3RER9xtqwdhxkhw/edit?usp=sharing"",""สุพรรณบุรี!I228"")"),322)</f>
        <v>322</v>
      </c>
      <c r="J328" s="340">
        <f ca="1">IFERROR(__xludf.DUMMYFUNCTION("IMPORTRANGE(""https://docs.google.com/spreadsheets/d/1SX6NBoVAgQJ6U1MVXOaj8PK2l7WJ3RER9xtqwdhxkhw/edit?usp=sharing"",""สุพรรณบุรี!J228"")"),292)</f>
        <v>292</v>
      </c>
      <c r="K328" s="318">
        <f ca="1">IF(I328&gt;0,J328*100/I328,0)</f>
        <v>90.683229813664596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981940</v>
      </c>
      <c r="M329" s="152">
        <f t="shared" ca="1" si="98"/>
        <v>1020440</v>
      </c>
      <c r="N329" s="152">
        <f t="shared" ca="1" si="98"/>
        <v>689138.78</v>
      </c>
      <c r="O329" s="151">
        <f t="shared" ref="O329:O331" ca="1" si="99">IF(L329&gt;0,N329*100/L329,0)</f>
        <v>70.181353239505469</v>
      </c>
      <c r="P329" s="151">
        <f t="shared" ref="P329:P331" ca="1" si="100">IF(M329&gt;0,N329*100/M329,0)</f>
        <v>67.533493395006076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981940</v>
      </c>
      <c r="M331" s="157">
        <f t="shared" ca="1" si="102"/>
        <v>1020440</v>
      </c>
      <c r="N331" s="157">
        <f t="shared" ca="1" si="102"/>
        <v>689138.78</v>
      </c>
      <c r="O331" s="156">
        <f t="shared" ca="1" si="99"/>
        <v>70.181353239505469</v>
      </c>
      <c r="P331" s="156">
        <f t="shared" ca="1" si="100"/>
        <v>67.533493395006076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971940</v>
      </c>
      <c r="M333" s="168">
        <f ca="1">IFERROR(__xludf.DUMMYFUNCTION("IMPORTRANGE(""https://docs.google.com/spreadsheets/d/1Yj_ptqi66GCucihVvJfMjLAmec39IyEx_6qawtMGysU/edit?usp=sharing"",""สบก!DL78"")"),1010440)</f>
        <v>1010440</v>
      </c>
      <c r="N333" s="169">
        <f ca="1">IFERROR(__xludf.DUMMYFUNCTION("IMPORTRANGE(""https://docs.google.com/spreadsheets/d/1Yj_ptqi66GCucihVvJfMjLAmec39IyEx_6qawtMGysU/edit?usp=sharing"",""สบก!DM78"")"),679138.78)</f>
        <v>679138.78</v>
      </c>
      <c r="O333" s="169">
        <f ca="1">IF(L333&gt;0,N333*100/L333,0)</f>
        <v>69.874558100294252</v>
      </c>
      <c r="P333" s="169">
        <f ca="1">IF(M333&gt;0,N333*100/M333,0)</f>
        <v>67.212182811448471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IFERROR(__xludf.DUMMYFUNCTION("IMPORTRANGE(""https://docs.google.com/spreadsheets/d/1Yj_ptqi66GCucihVvJfMjLAmec39IyEx_6qawtMGysU/edit?usp=sharing"",""สบก!DH78"")"),583200)</f>
        <v>583200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IFERROR(__xludf.DUMMYFUNCTION("IMPORTRANGE(""https://docs.google.com/spreadsheets/d/1Yj_ptqi66GCucihVvJfMjLAmec39IyEx_6qawtMGysU/edit?usp=sharing"",""สบก!DI78"")"),388740)</f>
        <v>388740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IFERROR(__xludf.DUMMYFUNCTION("IMPORTRANGE(""https://docs.google.com/spreadsheets/d/1Yj_ptqi66GCucihVvJfMjLAmec39IyEx_6qawtMGysU/edit?usp=sharing"",""สบก!DJ78"")"),10000)</f>
        <v>10000</v>
      </c>
      <c r="M337" s="49">
        <f ca="1">L337</f>
        <v>10000</v>
      </c>
      <c r="N337" s="49">
        <f ca="1">IFERROR(__xludf.DUMMYFUNCTION("IMPORTRANGE(""https://docs.google.com/spreadsheets/d/1Yj_ptqi66GCucihVvJfMjLAmec39IyEx_6qawtMGysU/edit?usp=sharing"",""สบก!DN78"")"),10000)</f>
        <v>10000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IFERROR(__xludf.DUMMYFUNCTION("IMPORTRANGE(""https://docs.google.com/spreadsheets/d/1SX6NBoVAgQJ6U1MVXOaj8PK2l7WJ3RER9xtqwdhxkhw/edit?usp=sharing"",""สุพรรณบุรี!I234"")"),0)</f>
        <v>0</v>
      </c>
      <c r="J339" s="188">
        <f ca="1">IFERROR(__xludf.DUMMYFUNCTION("IMPORTRANGE(""https://docs.google.com/spreadsheets/d/1SX6NBoVAgQJ6U1MVXOaj8PK2l7WJ3RER9xtqwdhxkhw/edit?usp=sharing"",""สุพรรณบุรี!J234"")"),286)</f>
        <v>286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IFERROR(__xludf.DUMMYFUNCTION("IMPORTRANGE(""https://docs.google.com/spreadsheets/d/1SX6NBoVAgQJ6U1MVXOaj8PK2l7WJ3RER9xtqwdhxkhw/edit?usp=sharing"",""สุพรรณบุรี!I235"")"),1500)</f>
        <v>1500</v>
      </c>
      <c r="J340" s="188">
        <f ca="1">IFERROR(__xludf.DUMMYFUNCTION("IMPORTRANGE(""https://docs.google.com/spreadsheets/d/1SX6NBoVAgQJ6U1MVXOaj8PK2l7WJ3RER9xtqwdhxkhw/edit?usp=sharing"",""สุพรรณบุรี!J235"")"),1848.58)</f>
        <v>1848.58</v>
      </c>
      <c r="K340" s="343">
        <f t="shared" ca="1" si="103"/>
        <v>123.23866666666666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IFERROR(__xludf.DUMMYFUNCTION("IMPORTRANGE(""https://docs.google.com/spreadsheets/d/1SX6NBoVAgQJ6U1MVXOaj8PK2l7WJ3RER9xtqwdhxkhw/edit?usp=sharing"",""สุพรรณบุรี!I236"")"),322)</f>
        <v>322</v>
      </c>
      <c r="J341" s="188">
        <f ca="1">IFERROR(__xludf.DUMMYFUNCTION("IMPORTRANGE(""https://docs.google.com/spreadsheets/d/1SX6NBoVAgQJ6U1MVXOaj8PK2l7WJ3RER9xtqwdhxkhw/edit?usp=sharing"",""สุพรรณบุรี!J236"")"),301)</f>
        <v>301</v>
      </c>
      <c r="K341" s="343">
        <f t="shared" ca="1" si="103"/>
        <v>93.478260869565219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IFERROR(__xludf.DUMMYFUNCTION("IMPORTRANGE(""https://docs.google.com/spreadsheets/d/1SX6NBoVAgQJ6U1MVXOaj8PK2l7WJ3RER9xtqwdhxkhw/edit?usp=sharing"",""สุพรรณบุรี!I237"")"),0)</f>
        <v>0</v>
      </c>
      <c r="J342" s="188">
        <f ca="1">IFERROR(__xludf.DUMMYFUNCTION("IMPORTRANGE(""https://docs.google.com/spreadsheets/d/1SX6NBoVAgQJ6U1MVXOaj8PK2l7WJ3RER9xtqwdhxkhw/edit?usp=sharing"",""สุพรรณบุรี!J237"")"),3113.50999999999)</f>
        <v>3113.5099999999902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IFERROR(__xludf.DUMMYFUNCTION("IMPORTRANGE(""https://docs.google.com/spreadsheets/d/1SX6NBoVAgQJ6U1MVXOaj8PK2l7WJ3RER9xtqwdhxkhw/edit?usp=sharing"",""สุพรรณบุรี!I238"")"),322)</f>
        <v>322</v>
      </c>
      <c r="J343" s="188">
        <f ca="1">IFERROR(__xludf.DUMMYFUNCTION("IMPORTRANGE(""https://docs.google.com/spreadsheets/d/1SX6NBoVAgQJ6U1MVXOaj8PK2l7WJ3RER9xtqwdhxkhw/edit?usp=sharing"",""สุพรรณบุรี!J238"")"),0)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IFERROR(__xludf.DUMMYFUNCTION("IMPORTRANGE(""https://docs.google.com/spreadsheets/d/1SX6NBoVAgQJ6U1MVXOaj8PK2l7WJ3RER9xtqwdhxkhw/edit?usp=sharing"",""สุพรรณบุรี!I239"")"),0)</f>
        <v>0</v>
      </c>
      <c r="J344" s="188">
        <f ca="1">IFERROR(__xludf.DUMMYFUNCTION("IMPORTRANGE(""https://docs.google.com/spreadsheets/d/1SX6NBoVAgQJ6U1MVXOaj8PK2l7WJ3RER9xtqwdhxkhw/edit?usp=sharing"",""สุพรรณบุรี!J239"")"),0)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IFERROR(__xludf.DUMMYFUNCTION("IMPORTRANGE(""https://docs.google.com/spreadsheets/d/1SX6NBoVAgQJ6U1MVXOaj8PK2l7WJ3RER9xtqwdhxkhw/edit?usp=sharing"",""สุพรรณบุรี!I240"")"),322)</f>
        <v>322</v>
      </c>
      <c r="J345" s="188">
        <f ca="1">IFERROR(__xludf.DUMMYFUNCTION("IMPORTRANGE(""https://docs.google.com/spreadsheets/d/1SX6NBoVAgQJ6U1MVXOaj8PK2l7WJ3RER9xtqwdhxkhw/edit?usp=sharing"",""สุพรรณบุรี!J240"")"),292)</f>
        <v>292</v>
      </c>
      <c r="K345" s="343">
        <f t="shared" ca="1" si="103"/>
        <v>90.683229813664596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IFERROR(__xludf.DUMMYFUNCTION("IMPORTRANGE(""https://docs.google.com/spreadsheets/d/1SX6NBoVAgQJ6U1MVXOaj8PK2l7WJ3RER9xtqwdhxkhw/edit?usp=sharing"",""สุพรรณบุรี!I241"")"),0)</f>
        <v>0</v>
      </c>
      <c r="J346" s="188">
        <f ca="1">IFERROR(__xludf.DUMMYFUNCTION("IMPORTRANGE(""https://docs.google.com/spreadsheets/d/1SX6NBoVAgQJ6U1MVXOaj8PK2l7WJ3RER9xtqwdhxkhw/edit?usp=sharing"",""สุพรรณบุรี!J241"")"),3035.29)</f>
        <v>3035.29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IFERROR(__xludf.DUMMYFUNCTION("IMPORTRANGE(""https://docs.google.com/spreadsheets/d/1SX6NBoVAgQJ6U1MVXOaj8PK2l7WJ3RER9xtqwdhxkhw/edit?usp=sharing"",""สุพรรณบุรี!L242"")"),2600695)</f>
        <v>2600695</v>
      </c>
      <c r="M347" s="358"/>
      <c r="N347" s="358">
        <f ca="1">IFERROR(__xludf.DUMMYFUNCTION("IMPORTRANGE(""https://docs.google.com/spreadsheets/d/1SX6NBoVAgQJ6U1MVXOaj8PK2l7WJ3RER9xtqwdhxkhw/edit?usp=sharing"",""สุพรรณบุรี!M242"")"),1549382.13)</f>
        <v>1549382.13</v>
      </c>
      <c r="O347" s="358">
        <f ca="1">+IF(L347&gt;0,N347*100/L347,0)</f>
        <v>59.575695342975628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IFERROR(__xludf.DUMMYFUNCTION("IMPORTRANGE(""https://docs.google.com/spreadsheets/d/1SX6NBoVAgQJ6U1MVXOaj8PK2l7WJ3RER9xtqwdhxkhw/edit?usp=sharing"",""สุพรรณบุรี!I244"")"),63)</f>
        <v>63</v>
      </c>
      <c r="J349" s="371">
        <f ca="1">IFERROR(__xludf.DUMMYFUNCTION("IMPORTRANGE(""https://docs.google.com/spreadsheets/d/1SX6NBoVAgQJ6U1MVXOaj8PK2l7WJ3RER9xtqwdhxkhw/edit?usp=sharing"",""สุพรรณบุรี!J244"")"),63)</f>
        <v>63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3"/>
      <c r="N349" s="373">
        <f ca="1">IFERROR(__xludf.DUMMYFUNCTION("IMPORTRANGE(""https://docs.google.com/spreadsheets/d/1SX6NBoVAgQJ6U1MVXOaj8PK2l7WJ3RER9xtqwdhxkhw/edit?usp=sharing"",""สุพรรณบุรี!M244"")"),219840)</f>
        <v>219840</v>
      </c>
      <c r="O349" s="373">
        <f ca="1">+IF(L349&gt;0,N349*100/L349,0)</f>
        <v>74.310438074634945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IFERROR(__xludf.DUMMYFUNCTION("IMPORTRANGE(""https://docs.google.com/spreadsheets/d/1SX6NBoVAgQJ6U1MVXOaj8PK2l7WJ3RER9xtqwdhxkhw/edit?usp=sharing"",""สุพรรณบุรี!I245"")"),42)</f>
        <v>42</v>
      </c>
      <c r="J350" s="371">
        <f ca="1">IFERROR(__xludf.DUMMYFUNCTION("IMPORTRANGE(""https://docs.google.com/spreadsheets/d/1SX6NBoVAgQJ6U1MVXOaj8PK2l7WJ3RER9xtqwdhxkhw/edit?usp=sharing"",""สุพรรณบุรี!J245"")"),42)</f>
        <v>42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IFERROR(__xludf.DUMMYFUNCTION("IMPORTRANGE(""https://docs.google.com/spreadsheets/d/1SX6NBoVAgQJ6U1MVXOaj8PK2l7WJ3RER9xtqwdhxkhw/edit?usp=sharing"",""สุพรรณบุรี!L246"")"),0)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IFERROR(__xludf.DUMMYFUNCTION("IMPORTRANGE(""https://docs.google.com/spreadsheets/d/1SX6NBoVAgQJ6U1MVXOaj8PK2l7WJ3RER9xtqwdhxkhw/edit?usp=sharing"",""สุพรรณบุรี!M246"")"),0)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5"/>
      <c r="N352" s="164">
        <f ca="1">IFERROR(__xludf.DUMMYFUNCTION("IMPORTRANGE(""https://docs.google.com/spreadsheets/d/1SX6NBoVAgQJ6U1MVXOaj8PK2l7WJ3RER9xtqwdhxkhw/edit?usp=sharing"",""สุพรรณบุรี!M247"")"),219840)</f>
        <v>219840</v>
      </c>
      <c r="O352" s="165">
        <f t="shared" ca="1" si="105"/>
        <v>74.310438074634945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IFERROR(__xludf.DUMMYFUNCTION("IMPORTRANGE(""https://docs.google.com/spreadsheets/d/1SX6NBoVAgQJ6U1MVXOaj8PK2l7WJ3RER9xtqwdhxkhw/edit?usp=sharing"",""สุพรรณบุรี!L248"")"),0)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IFERROR(__xludf.DUMMYFUNCTION("IMPORTRANGE(""https://docs.google.com/spreadsheets/d/1SX6NBoVAgQJ6U1MVXOaj8PK2l7WJ3RER9xtqwdhxkhw/edit?usp=sharing"",""สุพรรณบุรี!M248"")"),0)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IFERROR(__xludf.DUMMYFUNCTION("IMPORTRANGE(""https://docs.google.com/spreadsheets/d/1SX6NBoVAgQJ6U1MVXOaj8PK2l7WJ3RER9xtqwdhxkhw/edit?usp=sharing"",""สุพรรณบุรี!L249"")"),295840)</f>
        <v>295840</v>
      </c>
      <c r="M354" s="169"/>
      <c r="N354" s="168">
        <f ca="1">IFERROR(__xludf.DUMMYFUNCTION("IMPORTRANGE(""https://docs.google.com/spreadsheets/d/1SX6NBoVAgQJ6U1MVXOaj8PK2l7WJ3RER9xtqwdhxkhw/edit?usp=sharing"",""สุพรรณบุรี!M249"")"),219840)</f>
        <v>219840</v>
      </c>
      <c r="O354" s="169">
        <f t="shared" ca="1" si="105"/>
        <v>74.310438074634945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IFERROR(__xludf.DUMMYFUNCTION("IMPORTRANGE(""https://docs.google.com/spreadsheets/d/1SX6NBoVAgQJ6U1MVXOaj8PK2l7WJ3RER9xtqwdhxkhw/edit?usp=sharing"",""สุพรรณบุรี!M250"")"),52680)</f>
        <v>52680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IFERROR(__xludf.DUMMYFUNCTION("IMPORTRANGE(""https://docs.google.com/spreadsheets/d/1SX6NBoVAgQJ6U1MVXOaj8PK2l7WJ3RER9xtqwdhxkhw/edit?usp=sharing"",""สุพรรณบุรี!M251"")"),65100)</f>
        <v>65100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IFERROR(__xludf.DUMMYFUNCTION("IMPORTRANGE(""https://docs.google.com/spreadsheets/d/1SX6NBoVAgQJ6U1MVXOaj8PK2l7WJ3RER9xtqwdhxkhw/edit?usp=sharing"",""สุพรรณบุรี!M252"")"),88000)</f>
        <v>88000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IFERROR(__xludf.DUMMYFUNCTION("IMPORTRANGE(""https://docs.google.com/spreadsheets/d/1SX6NBoVAgQJ6U1MVXOaj8PK2l7WJ3RER9xtqwdhxkhw/edit?usp=sharing"",""สุพรรณบุรี!M253"")"),14060)</f>
        <v>14060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IFERROR(__xludf.DUMMYFUNCTION("IMPORTRANGE(""https://docs.google.com/spreadsheets/d/1SX6NBoVAgQJ6U1MVXOaj8PK2l7WJ3RER9xtqwdhxkhw/edit?usp=sharing"",""สุพรรณบุรี!J255"")"),0)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IFERROR(__xludf.DUMMYFUNCTION("IMPORTRANGE(""https://docs.google.com/spreadsheets/d/1SX6NBoVAgQJ6U1MVXOaj8PK2l7WJ3RER9xtqwdhxkhw/edit?usp=sharing"",""สุพรรณบุรี!J256"")"),1)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IFERROR(__xludf.DUMMYFUNCTION("IMPORTRANGE(""https://docs.google.com/spreadsheets/d/1SX6NBoVAgQJ6U1MVXOaj8PK2l7WJ3RER9xtqwdhxkhw/edit?usp=sharing"",""สุพรรณบุรี!J257"")"),1)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IFERROR(__xludf.DUMMYFUNCTION("IMPORTRANGE(""https://docs.google.com/spreadsheets/d/1SX6NBoVAgQJ6U1MVXOaj8PK2l7WJ3RER9xtqwdhxkhw/edit?usp=sharing"",""สุพรรณบุรี!J258"")"),1)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IFERROR(__xludf.DUMMYFUNCTION("IMPORTRANGE(""https://docs.google.com/spreadsheets/d/1SX6NBoVAgQJ6U1MVXOaj8PK2l7WJ3RER9xtqwdhxkhw/edit?usp=sharing"",""สุพรรณบุรี!J166"")"),0)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IFERROR(__xludf.DUMMYFUNCTION("IMPORTRANGE(""https://docs.google.com/spreadsheets/d/1SX6NBoVAgQJ6U1MVXOaj8PK2l7WJ3RER9xtqwdhxkhw/edit?usp=sharing"",""สุพรรณบุรี!J166"")"),0)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IFERROR(__xludf.DUMMYFUNCTION("IMPORTRANGE(""https://docs.google.com/spreadsheets/d/1SX6NBoVAgQJ6U1MVXOaj8PK2l7WJ3RER9xtqwdhxkhw/edit?usp=sharing"",""สุพรรณบุรี!J166"")"),0)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IFERROR(__xludf.DUMMYFUNCTION("IMPORTRANGE(""https://docs.google.com/spreadsheets/d/1SX6NBoVAgQJ6U1MVXOaj8PK2l7WJ3RER9xtqwdhxkhw/edit?usp=sharing"",""สุพรรณบุรี!J166"")"),0)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IFERROR(__xludf.DUMMYFUNCTION("IMPORTRANGE(""https://docs.google.com/spreadsheets/d/1SX6NBoVAgQJ6U1MVXOaj8PK2l7WJ3RER9xtqwdhxkhw/edit?usp=sharing"",""สุพรรณบุรี!I263"")"),42)</f>
        <v>42</v>
      </c>
      <c r="J368" s="188">
        <f ca="1">IFERROR(__xludf.DUMMYFUNCTION("IMPORTRANGE(""https://docs.google.com/spreadsheets/d/1SX6NBoVAgQJ6U1MVXOaj8PK2l7WJ3RER9xtqwdhxkhw/edit?usp=sharing"",""สุพรรณบุรี!J263"")"),42)</f>
        <v>42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IFERROR(__xludf.DUMMYFUNCTION("IMPORTRANGE(""https://docs.google.com/spreadsheets/d/1SX6NBoVAgQJ6U1MVXOaj8PK2l7WJ3RER9xtqwdhxkhw/edit?usp=sharing"",""สุพรรณบุรี!I164"")"),0)</f>
        <v>0</v>
      </c>
      <c r="J369" s="204">
        <f ca="1">IFERROR(__xludf.DUMMYFUNCTION("IMPORTRANGE(""https://docs.google.com/spreadsheets/d/1SX6NBoVAgQJ6U1MVXOaj8PK2l7WJ3RER9xtqwdhxkhw/edit?usp=sharing"",""สุพรรณบุรี!J164"")"),0)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IFERROR(__xludf.DUMMYFUNCTION("IMPORTRANGE(""https://docs.google.com/spreadsheets/d/1SX6NBoVAgQJ6U1MVXOaj8PK2l7WJ3RER9xtqwdhxkhw/edit?usp=sharing"",""สุพรรณบุรี!I265"")"),42)</f>
        <v>42</v>
      </c>
      <c r="J370" s="204">
        <f ca="1">IFERROR(__xludf.DUMMYFUNCTION("IMPORTRANGE(""https://docs.google.com/spreadsheets/d/1SX6NBoVAgQJ6U1MVXOaj8PK2l7WJ3RER9xtqwdhxkhw/edit?usp=sharing"",""สุพรรณบุรี!J265"")"),42)</f>
        <v>42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IFERROR(__xludf.DUMMYFUNCTION("IMPORTRANGE(""https://docs.google.com/spreadsheets/d/1SX6NBoVAgQJ6U1MVXOaj8PK2l7WJ3RER9xtqwdhxkhw/edit?usp=sharing"",""สุพรรณบุรี!I164"")"),0)</f>
        <v>0</v>
      </c>
      <c r="J371" s="189">
        <f ca="1">IFERROR(__xludf.DUMMYFUNCTION("IMPORTRANGE(""https://docs.google.com/spreadsheets/d/1SX6NBoVAgQJ6U1MVXOaj8PK2l7WJ3RER9xtqwdhxkhw/edit?usp=sharing"",""สุพรรณบุรี!J164"")"),0)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IFERROR(__xludf.DUMMYFUNCTION("IMPORTRANGE(""https://docs.google.com/spreadsheets/d/1SX6NBoVAgQJ6U1MVXOaj8PK2l7WJ3RER9xtqwdhxkhw/edit?usp=sharing"",""สุพรรณบุรี!I267"")"),42)</f>
        <v>42</v>
      </c>
      <c r="J372" s="189">
        <f ca="1">IFERROR(__xludf.DUMMYFUNCTION("IMPORTRANGE(""https://docs.google.com/spreadsheets/d/1SX6NBoVAgQJ6U1MVXOaj8PK2l7WJ3RER9xtqwdhxkhw/edit?usp=sharing"",""สุพรรณบุรี!J267"")"),42)</f>
        <v>42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IFERROR(__xludf.DUMMYFUNCTION("IMPORTRANGE(""https://docs.google.com/spreadsheets/d/1SX6NBoVAgQJ6U1MVXOaj8PK2l7WJ3RER9xtqwdhxkhw/edit?usp=sharing"",""สุพรรณบุรี!I164"")"),0)</f>
        <v>0</v>
      </c>
      <c r="J373" s="204">
        <f ca="1">IFERROR(__xludf.DUMMYFUNCTION("IMPORTRANGE(""https://docs.google.com/spreadsheets/d/1SX6NBoVAgQJ6U1MVXOaj8PK2l7WJ3RER9xtqwdhxkhw/edit?usp=sharing"",""สุพรรณบุรี!J164"")"),0)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IFERROR(__xludf.DUMMYFUNCTION("IMPORTRANGE(""https://docs.google.com/spreadsheets/d/1SX6NBoVAgQJ6U1MVXOaj8PK2l7WJ3RER9xtqwdhxkhw/edit?usp=sharing"",""สุพรรณบุรี!I164"")"),0)</f>
        <v>0</v>
      </c>
      <c r="J374" s="188">
        <f ca="1">IFERROR(__xludf.DUMMYFUNCTION("IMPORTRANGE(""https://docs.google.com/spreadsheets/d/1SX6NBoVAgQJ6U1MVXOaj8PK2l7WJ3RER9xtqwdhxkhw/edit?usp=sharing"",""สุพรรณบุรี!J164"")"),0)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IFERROR(__xludf.DUMMYFUNCTION("IMPORTRANGE(""https://docs.google.com/spreadsheets/d/1SX6NBoVAgQJ6U1MVXOaj8PK2l7WJ3RER9xtqwdhxkhw/edit?usp=sharing"",""สุพรรณบุรี!I270"")"),63)</f>
        <v>63</v>
      </c>
      <c r="J375" s="188">
        <f ca="1">IFERROR(__xludf.DUMMYFUNCTION("IMPORTRANGE(""https://docs.google.com/spreadsheets/d/1SX6NBoVAgQJ6U1MVXOaj8PK2l7WJ3RER9xtqwdhxkhw/edit?usp=sharing"",""สุพรรณบุรี!J270"")"),63)</f>
        <v>63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IFERROR(__xludf.DUMMYFUNCTION("IMPORTRANGE(""https://docs.google.com/spreadsheets/d/1SX6NBoVAgQJ6U1MVXOaj8PK2l7WJ3RER9xtqwdhxkhw/edit?usp=sharing"",""สุพรรณบุรี!I271"")"),20)</f>
        <v>20</v>
      </c>
      <c r="J376" s="189">
        <f ca="1">IFERROR(__xludf.DUMMYFUNCTION("IMPORTRANGE(""https://docs.google.com/spreadsheets/d/1SX6NBoVAgQJ6U1MVXOaj8PK2l7WJ3RER9xtqwdhxkhw/edit?usp=sharing"",""สุพรรณบุรี!J271"")"),20)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IFERROR(__xludf.DUMMYFUNCTION("IMPORTRANGE(""https://docs.google.com/spreadsheets/d/1SX6NBoVAgQJ6U1MVXOaj8PK2l7WJ3RER9xtqwdhxkhw/edit?usp=sharing"",""สุพรรณบุรี!I272"")"),43)</f>
        <v>43</v>
      </c>
      <c r="J377" s="204">
        <f ca="1">IFERROR(__xludf.DUMMYFUNCTION("IMPORTRANGE(""https://docs.google.com/spreadsheets/d/1SX6NBoVAgQJ6U1MVXOaj8PK2l7WJ3RER9xtqwdhxkhw/edit?usp=sharing"",""สุพรรณบุรี!J272"")"),43)</f>
        <v>43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IFERROR(__xludf.DUMMYFUNCTION("IMPORTRANGE(""https://docs.google.com/spreadsheets/d/1SX6NBoVAgQJ6U1MVXOaj8PK2l7WJ3RER9xtqwdhxkhw/edit?usp=sharing"",""สุพรรณบุรี!J273"")"),0)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IFERROR(__xludf.DUMMYFUNCTION("IMPORTRANGE(""https://docs.google.com/spreadsheets/d/1SX6NBoVAgQJ6U1MVXOaj8PK2l7WJ3RER9xtqwdhxkhw/edit?usp=sharing"",""สุพรรณบุรี!J274"")"),0)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IFERROR(__xludf.DUMMYFUNCTION("IMPORTRANGE(""https://docs.google.com/spreadsheets/d/1SX6NBoVAgQJ6U1MVXOaj8PK2l7WJ3RER9xtqwdhxkhw/edit?usp=sharing"",""สุพรรณบุรี!I275"")"),1000)</f>
        <v>1000</v>
      </c>
      <c r="J380" s="371">
        <f ca="1">IFERROR(__xludf.DUMMYFUNCTION("IMPORTRANGE(""https://docs.google.com/spreadsheets/d/1SX6NBoVAgQJ6U1MVXOaj8PK2l7WJ3RER9xtqwdhxkhw/edit?usp=sharing"",""สุพรรณบุรี!J275"")"),1000)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IFERROR(__xludf.DUMMYFUNCTION("IMPORTRANGE(""https://docs.google.com/spreadsheets/d/1SX6NBoVAgQJ6U1MVXOaj8PK2l7WJ3RER9xtqwdhxkhw/edit?usp=sharing"",""สุพรรณบุรี!M275"")"),358631.95)</f>
        <v>358631.95</v>
      </c>
      <c r="O380" s="373">
        <f ca="1">+IF(L380&gt;0,N380*100/L380,0)</f>
        <v>34.86873857581768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IFERROR(__xludf.DUMMYFUNCTION("IMPORTRANGE(""https://docs.google.com/spreadsheets/d/1SX6NBoVAgQJ6U1MVXOaj8PK2l7WJ3RER9xtqwdhxkhw/edit?usp=sharing"",""สุพรรณบุรี!I276"")"),100)</f>
        <v>100</v>
      </c>
      <c r="J381" s="371">
        <f ca="1">IFERROR(__xludf.DUMMYFUNCTION("IMPORTRANGE(""https://docs.google.com/spreadsheets/d/1SX6NBoVAgQJ6U1MVXOaj8PK2l7WJ3RER9xtqwdhxkhw/edit?usp=sharing"",""สุพรรณบุรี!J276"")"),100)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IFERROR(__xludf.DUMMYFUNCTION("IMPORTRANGE(""https://docs.google.com/spreadsheets/d/1SX6NBoVAgQJ6U1MVXOaj8PK2l7WJ3RER9xtqwdhxkhw/edit?usp=sharing"",""สุพรรณบุรี!L277"")"),0)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IFERROR(__xludf.DUMMYFUNCTION("IMPORTRANGE(""https://docs.google.com/spreadsheets/d/1SX6NBoVAgQJ6U1MVXOaj8PK2l7WJ3RER9xtqwdhxkhw/edit?usp=sharing"",""สุพรรณบุรี!M277"")"),0)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IFERROR(__xludf.DUMMYFUNCTION("IMPORTRANGE(""https://docs.google.com/spreadsheets/d/1SX6NBoVAgQJ6U1MVXOaj8PK2l7WJ3RER9xtqwdhxkhw/edit?usp=sharing"",""สุพรรณบุรี!M278"")"),358631.95)</f>
        <v>358631.95</v>
      </c>
      <c r="O383" s="165">
        <f t="shared" ca="1" si="109"/>
        <v>34.86873857581768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IFERROR(__xludf.DUMMYFUNCTION("IMPORTRANGE(""https://docs.google.com/spreadsheets/d/1SX6NBoVAgQJ6U1MVXOaj8PK2l7WJ3RER9xtqwdhxkhw/edit?usp=sharing"",""สุพรรณบุรี!L279"")"),0)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IFERROR(__xludf.DUMMYFUNCTION("IMPORTRANGE(""https://docs.google.com/spreadsheets/d/1SX6NBoVAgQJ6U1MVXOaj8PK2l7WJ3RER9xtqwdhxkhw/edit?usp=sharing"",""สุพรรณบุรี!M279"")"),0)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IFERROR(__xludf.DUMMYFUNCTION("IMPORTRANGE(""https://docs.google.com/spreadsheets/d/1SX6NBoVAgQJ6U1MVXOaj8PK2l7WJ3RER9xtqwdhxkhw/edit?usp=sharing"",""สุพรรณบุรี!M280"")"),358631.95)</f>
        <v>358631.95</v>
      </c>
      <c r="O385" s="169">
        <f t="shared" ca="1" si="109"/>
        <v>34.86873857581768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IFERROR(__xludf.DUMMYFUNCTION("IMPORTRANGE(""https://docs.google.com/spreadsheets/d/1SX6NBoVAgQJ6U1MVXOaj8PK2l7WJ3RER9xtqwdhxkhw/edit?usp=sharing"",""สุพรรณบุรี!M281"")"),198000)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IFERROR(__xludf.DUMMYFUNCTION("IMPORTRANGE(""https://docs.google.com/spreadsheets/d/1SX6NBoVAgQJ6U1MVXOaj8PK2l7WJ3RER9xtqwdhxkhw/edit?usp=sharing"",""สุพรรณบุรี!M282"")"),0)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IFERROR(__xludf.DUMMYFUNCTION("IMPORTRANGE(""https://docs.google.com/spreadsheets/d/1SX6NBoVAgQJ6U1MVXOaj8PK2l7WJ3RER9xtqwdhxkhw/edit?usp=sharing"",""สุพรรณบุรี!M283"")"),113271.95)</f>
        <v>113271.95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IFERROR(__xludf.DUMMYFUNCTION("IMPORTRANGE(""https://docs.google.com/spreadsheets/d/1SX6NBoVAgQJ6U1MVXOaj8PK2l7WJ3RER9xtqwdhxkhw/edit?usp=sharing"",""สุพรรณบุรี!M284"")"),47360)</f>
        <v>47360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IFERROR(__xludf.DUMMYFUNCTION("IMPORTRANGE(""https://docs.google.com/spreadsheets/d/1SX6NBoVAgQJ6U1MVXOaj8PK2l7WJ3RER9xtqwdhxkhw/edit?usp=sharing"",""สุพรรณบุรี!J286"")"),0)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IFERROR(__xludf.DUMMYFUNCTION("IMPORTRANGE(""https://docs.google.com/spreadsheets/d/1SX6NBoVAgQJ6U1MVXOaj8PK2l7WJ3RER9xtqwdhxkhw/edit?usp=sharing"",""สุพรรณบุรี!J287"")"),1)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IFERROR(__xludf.DUMMYFUNCTION("IMPORTRANGE(""https://docs.google.com/spreadsheets/d/1SX6NBoVAgQJ6U1MVXOaj8PK2l7WJ3RER9xtqwdhxkhw/edit?usp=sharing"",""สุพรรณบุรี!J288"")"),1)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IFERROR(__xludf.DUMMYFUNCTION("IMPORTRANGE(""https://docs.google.com/spreadsheets/d/1SX6NBoVAgQJ6U1MVXOaj8PK2l7WJ3RER9xtqwdhxkhw/edit?usp=sharing"",""สุพรรณบุรี!J289"")"),1)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IFERROR(__xludf.DUMMYFUNCTION("IMPORTRANGE(""https://docs.google.com/spreadsheets/d/1SX6NBoVAgQJ6U1MVXOaj8PK2l7WJ3RER9xtqwdhxkhw/edit?usp=sharing"",""สุพรรณบุรี!I291"")"),100)</f>
        <v>100</v>
      </c>
      <c r="J396" s="198">
        <f ca="1">IFERROR(__xludf.DUMMYFUNCTION("IMPORTRANGE(""https://docs.google.com/spreadsheets/d/1SX6NBoVAgQJ6U1MVXOaj8PK2l7WJ3RER9xtqwdhxkhw/edit?usp=sharing"",""สุพรรณบุรี!J291"")"),100)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IFERROR(__xludf.DUMMYFUNCTION("IMPORTRANGE(""https://docs.google.com/spreadsheets/d/1SX6NBoVAgQJ6U1MVXOaj8PK2l7WJ3RER9xtqwdhxkhw/edit?usp=sharing"",""สุพรรณบุรี!I292"")"),1000)</f>
        <v>1000</v>
      </c>
      <c r="J397" s="198">
        <f ca="1">IFERROR(__xludf.DUMMYFUNCTION("IMPORTRANGE(""https://docs.google.com/spreadsheets/d/1SX6NBoVAgQJ6U1MVXOaj8PK2l7WJ3RER9xtqwdhxkhw/edit?usp=sharing"",""สุพรรณบุรี!J292"")"),1000)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IFERROR(__xludf.DUMMYFUNCTION("IMPORTRANGE(""https://docs.google.com/spreadsheets/d/1SX6NBoVAgQJ6U1MVXOaj8PK2l7WJ3RER9xtqwdhxkhw/edit?usp=sharing"",""สุพรรณบุรี!I293"")"),100)</f>
        <v>100</v>
      </c>
      <c r="J398" s="198">
        <f ca="1">IFERROR(__xludf.DUMMYFUNCTION("IMPORTRANGE(""https://docs.google.com/spreadsheets/d/1SX6NBoVAgQJ6U1MVXOaj8PK2l7WJ3RER9xtqwdhxkhw/edit?usp=sharing"",""สุพรรณบุรี!J293"")"),100)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IFERROR(__xludf.DUMMYFUNCTION("IMPORTRANGE(""https://docs.google.com/spreadsheets/d/1SX6NBoVAgQJ6U1MVXOaj8PK2l7WJ3RER9xtqwdhxkhw/edit?usp=sharing"",""สุพรรณบุรี!J294"")"),0)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IFERROR(__xludf.DUMMYFUNCTION("IMPORTRANGE(""https://docs.google.com/spreadsheets/d/1SX6NBoVAgQJ6U1MVXOaj8PK2l7WJ3RER9xtqwdhxkhw/edit?usp=sharing"",""สุพรรณบุรี!J295"")"),0)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IFERROR(__xludf.DUMMYFUNCTION("IMPORTRANGE(""https://docs.google.com/spreadsheets/d/1SX6NBoVAgQJ6U1MVXOaj8PK2l7WJ3RER9xtqwdhxkhw/edit?usp=sharing"",""สุพรรณบุรี!I296"")"),180)</f>
        <v>180</v>
      </c>
      <c r="J401" s="371">
        <f ca="1">IFERROR(__xludf.DUMMYFUNCTION("IMPORTRANGE(""https://docs.google.com/spreadsheets/d/1SX6NBoVAgQJ6U1MVXOaj8PK2l7WJ3RER9xtqwdhxkhw/edit?usp=sharing"",""สุพรรณบุรี!J296"")"),180)</f>
        <v>180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3"/>
      <c r="N401" s="373">
        <f ca="1">IFERROR(__xludf.DUMMYFUNCTION("IMPORTRANGE(""https://docs.google.com/spreadsheets/d/1SX6NBoVAgQJ6U1MVXOaj8PK2l7WJ3RER9xtqwdhxkhw/edit?usp=sharing"",""สุพรรณบุรี!M296"")"),176980)</f>
        <v>176980</v>
      </c>
      <c r="O401" s="373">
        <f ca="1">+IF(L401&gt;0,N401*100/L401,0)</f>
        <v>94.875093813659262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IFERROR(__xludf.DUMMYFUNCTION("IMPORTRANGE(""https://docs.google.com/spreadsheets/d/1SX6NBoVAgQJ6U1MVXOaj8PK2l7WJ3RER9xtqwdhxkhw/edit?usp=sharing"",""สุพรรณบุรี!I297"")"),60)</f>
        <v>60</v>
      </c>
      <c r="J402" s="371">
        <f ca="1">IFERROR(__xludf.DUMMYFUNCTION("IMPORTRANGE(""https://docs.google.com/spreadsheets/d/1SX6NBoVAgQJ6U1MVXOaj8PK2l7WJ3RER9xtqwdhxkhw/edit?usp=sharing"",""สุพรรณบุรี!J297"")"),60)</f>
        <v>60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IFERROR(__xludf.DUMMYFUNCTION("IMPORTRANGE(""https://docs.google.com/spreadsheets/d/1SX6NBoVAgQJ6U1MVXOaj8PK2l7WJ3RER9xtqwdhxkhw/edit?usp=sharing"",""สุพรรณบุรี!L298"")"),0)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IFERROR(__xludf.DUMMYFUNCTION("IMPORTRANGE(""https://docs.google.com/spreadsheets/d/1SX6NBoVAgQJ6U1MVXOaj8PK2l7WJ3RER9xtqwdhxkhw/edit?usp=sharing"",""สุพรรณบุรี!M298"")"),0)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5"/>
      <c r="N404" s="169">
        <f ca="1">IFERROR(__xludf.DUMMYFUNCTION("IMPORTRANGE(""https://docs.google.com/spreadsheets/d/1SX6NBoVAgQJ6U1MVXOaj8PK2l7WJ3RER9xtqwdhxkhw/edit?usp=sharing"",""สุพรรณบุรี!M299"")"),176980)</f>
        <v>176980</v>
      </c>
      <c r="O404" s="169">
        <f t="shared" ca="1" si="112"/>
        <v>94.875093813659262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IFERROR(__xludf.DUMMYFUNCTION("IMPORTRANGE(""https://docs.google.com/spreadsheets/d/1SX6NBoVAgQJ6U1MVXOaj8PK2l7WJ3RER9xtqwdhxkhw/edit?usp=sharing"",""สุพรรณบุรี!L300"")"),0)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IFERROR(__xludf.DUMMYFUNCTION("IMPORTRANGE(""https://docs.google.com/spreadsheets/d/1SX6NBoVAgQJ6U1MVXOaj8PK2l7WJ3RER9xtqwdhxkhw/edit?usp=sharing"",""สุพรรณบุรี!M300"")"),0)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IFERROR(__xludf.DUMMYFUNCTION("IMPORTRANGE(""https://docs.google.com/spreadsheets/d/1SX6NBoVAgQJ6U1MVXOaj8PK2l7WJ3RER9xtqwdhxkhw/edit?usp=sharing"",""สุพรรณบุรี!L301"")"),186540)</f>
        <v>186540</v>
      </c>
      <c r="M406" s="169"/>
      <c r="N406" s="169">
        <f ca="1">IFERROR(__xludf.DUMMYFUNCTION("IMPORTRANGE(""https://docs.google.com/spreadsheets/d/1SX6NBoVAgQJ6U1MVXOaj8PK2l7WJ3RER9xtqwdhxkhw/edit?usp=sharing"",""สุพรรณบุรี!M301"")"),176980)</f>
        <v>176980</v>
      </c>
      <c r="O406" s="169">
        <f t="shared" ca="1" si="112"/>
        <v>94.875093813659262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IFERROR(__xludf.DUMMYFUNCTION("IMPORTRANGE(""https://docs.google.com/spreadsheets/d/1SX6NBoVAgQJ6U1MVXOaj8PK2l7WJ3RER9xtqwdhxkhw/edit?usp=sharing"",""สุพรรณบุรี!M302"")"),121200)</f>
        <v>121200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IFERROR(__xludf.DUMMYFUNCTION("IMPORTRANGE(""https://docs.google.com/spreadsheets/d/1SX6NBoVAgQJ6U1MVXOaj8PK2l7WJ3RER9xtqwdhxkhw/edit?usp=sharing"",""สุพรรณบุรี!M303"")"),35000)</f>
        <v>35000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IFERROR(__xludf.DUMMYFUNCTION("IMPORTRANGE(""https://docs.google.com/spreadsheets/d/1SX6NBoVAgQJ6U1MVXOaj8PK2l7WJ3RER9xtqwdhxkhw/edit?usp=sharing"",""สุพรรณบุรี!M304"")"),0)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IFERROR(__xludf.DUMMYFUNCTION("IMPORTRANGE(""https://docs.google.com/spreadsheets/d/1SX6NBoVAgQJ6U1MVXOaj8PK2l7WJ3RER9xtqwdhxkhw/edit?usp=sharing"",""สุพรรณบุรี!M305"")"),20780)</f>
        <v>20780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IFERROR(__xludf.DUMMYFUNCTION("IMPORTRANGE(""https://docs.google.com/spreadsheets/d/1SX6NBoVAgQJ6U1MVXOaj8PK2l7WJ3RER9xtqwdhxkhw/edit?usp=sharing"",""สุพรรณบุรี!J307"")"),0)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IFERROR(__xludf.DUMMYFUNCTION("IMPORTRANGE(""https://docs.google.com/spreadsheets/d/1SX6NBoVAgQJ6U1MVXOaj8PK2l7WJ3RER9xtqwdhxkhw/edit?usp=sharing"",""สุพรรณบุรี!J308"")"),1)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IFERROR(__xludf.DUMMYFUNCTION("IMPORTRANGE(""https://docs.google.com/spreadsheets/d/1SX6NBoVAgQJ6U1MVXOaj8PK2l7WJ3RER9xtqwdhxkhw/edit?usp=sharing"",""สุพรรณบุรี!J309"")"),1)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IFERROR(__xludf.DUMMYFUNCTION("IMPORTRANGE(""https://docs.google.com/spreadsheets/d/1SX6NBoVAgQJ6U1MVXOaj8PK2l7WJ3RER9xtqwdhxkhw/edit?usp=sharing"",""สุพรรณบุรี!J310"")"),1)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IFERROR(__xludf.DUMMYFUNCTION("IMPORTRANGE(""https://docs.google.com/spreadsheets/d/1SX6NBoVAgQJ6U1MVXOaj8PK2l7WJ3RER9xtqwdhxkhw/edit?usp=sharing"",""สุพรรณบุรี!I311"")"),60)</f>
        <v>60</v>
      </c>
      <c r="J416" s="201">
        <f ca="1">IFERROR(__xludf.DUMMYFUNCTION("IMPORTRANGE(""https://docs.google.com/spreadsheets/d/1SX6NBoVAgQJ6U1MVXOaj8PK2l7WJ3RER9xtqwdhxkhw/edit?usp=sharing"",""สุพรรณบุรี!J311"")"),60)</f>
        <v>60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IFERROR(__xludf.DUMMYFUNCTION("IMPORTRANGE(""https://docs.google.com/spreadsheets/d/1SX6NBoVAgQJ6U1MVXOaj8PK2l7WJ3RER9xtqwdhxkhw/edit?usp=sharing"",""สุพรรณบุรี!I312"")"),0)</f>
        <v>0</v>
      </c>
      <c r="J417" s="392">
        <f ca="1">IFERROR(__xludf.DUMMYFUNCTION("IMPORTRANGE(""https://docs.google.com/spreadsheets/d/1SX6NBoVAgQJ6U1MVXOaj8PK2l7WJ3RER9xtqwdhxkhw/edit?usp=sharing"",""สุพรรณบุรี!J312"")"),0)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IFERROR(__xludf.DUMMYFUNCTION("IMPORTRANGE(""https://docs.google.com/spreadsheets/d/1SX6NBoVAgQJ6U1MVXOaj8PK2l7WJ3RER9xtqwdhxkhw/edit?usp=sharing"",""สุพรรณบุรี!I313"")"),0)</f>
        <v>0</v>
      </c>
      <c r="J418" s="393">
        <f ca="1">IFERROR(__xludf.DUMMYFUNCTION("IMPORTRANGE(""https://docs.google.com/spreadsheets/d/1SX6NBoVAgQJ6U1MVXOaj8PK2l7WJ3RER9xtqwdhxkhw/edit?usp=sharing"",""สุพรรณบุรี!J313"")"),0)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IFERROR(__xludf.DUMMYFUNCTION("IMPORTRANGE(""https://docs.google.com/spreadsheets/d/1SX6NBoVAgQJ6U1MVXOaj8PK2l7WJ3RER9xtqwdhxkhw/edit?usp=sharing"",""สุพรรณบุรี!I314"")"),0)</f>
        <v>0</v>
      </c>
      <c r="J419" s="394">
        <f ca="1">IFERROR(__xludf.DUMMYFUNCTION("IMPORTRANGE(""https://docs.google.com/spreadsheets/d/1SX6NBoVAgQJ6U1MVXOaj8PK2l7WJ3RER9xtqwdhxkhw/edit?usp=sharing"",""สุพรรณบุรี!J314"")"),0)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IFERROR(__xludf.DUMMYFUNCTION("IMPORTRANGE(""https://docs.google.com/spreadsheets/d/1SX6NBoVAgQJ6U1MVXOaj8PK2l7WJ3RER9xtqwdhxkhw/edit?usp=sharing"",""สุพรรณบุรี!I315"")"),0)</f>
        <v>0</v>
      </c>
      <c r="J420" s="394">
        <f ca="1">IFERROR(__xludf.DUMMYFUNCTION("IMPORTRANGE(""https://docs.google.com/spreadsheets/d/1SX6NBoVAgQJ6U1MVXOaj8PK2l7WJ3RER9xtqwdhxkhw/edit?usp=sharing"",""สุพรรณบุรี!J315"")"),0)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IFERROR(__xludf.DUMMYFUNCTION("IMPORTRANGE(""https://docs.google.com/spreadsheets/d/1SX6NBoVAgQJ6U1MVXOaj8PK2l7WJ3RER9xtqwdhxkhw/edit?usp=sharing"",""สุพรรณบุรี!I316"")"),50)</f>
        <v>50</v>
      </c>
      <c r="J421" s="392">
        <f ca="1">IFERROR(__xludf.DUMMYFUNCTION("IMPORTRANGE(""https://docs.google.com/spreadsheets/d/1SX6NBoVAgQJ6U1MVXOaj8PK2l7WJ3RER9xtqwdhxkhw/edit?usp=sharing"",""สุพรรณบุรี!J316"")"),50)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IFERROR(__xludf.DUMMYFUNCTION("IMPORTRANGE(""https://docs.google.com/spreadsheets/d/1SX6NBoVAgQJ6U1MVXOaj8PK2l7WJ3RER9xtqwdhxkhw/edit?usp=sharing"",""สุพรรณบุรี!I317"")"),150)</f>
        <v>150</v>
      </c>
      <c r="J422" s="393">
        <f ca="1">IFERROR(__xludf.DUMMYFUNCTION("IMPORTRANGE(""https://docs.google.com/spreadsheets/d/1SX6NBoVAgQJ6U1MVXOaj8PK2l7WJ3RER9xtqwdhxkhw/edit?usp=sharing"",""สุพรรณบุรี!J317"")"),150)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IFERROR(__xludf.DUMMYFUNCTION("IMPORTRANGE(""https://docs.google.com/spreadsheets/d/1SX6NBoVAgQJ6U1MVXOaj8PK2l7WJ3RER9xtqwdhxkhw/edit?usp=sharing"",""สุพรรณบุรี!I318"")"),50)</f>
        <v>50</v>
      </c>
      <c r="J423" s="394">
        <f ca="1">IFERROR(__xludf.DUMMYFUNCTION("IMPORTRANGE(""https://docs.google.com/spreadsheets/d/1SX6NBoVAgQJ6U1MVXOaj8PK2l7WJ3RER9xtqwdhxkhw/edit?usp=sharing"",""สุพรรณบุรี!J318"")"),50)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IFERROR(__xludf.DUMMYFUNCTION("IMPORTRANGE(""https://docs.google.com/spreadsheets/d/1SX6NBoVAgQJ6U1MVXOaj8PK2l7WJ3RER9xtqwdhxkhw/edit?usp=sharing"",""สุพรรณบุรี!I319"")"),50)</f>
        <v>50</v>
      </c>
      <c r="J424" s="394">
        <f ca="1">IFERROR(__xludf.DUMMYFUNCTION("IMPORTRANGE(""https://docs.google.com/spreadsheets/d/1SX6NBoVAgQJ6U1MVXOaj8PK2l7WJ3RER9xtqwdhxkhw/edit?usp=sharing"",""สุพรรณบุรี!J319"")"),50)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IFERROR(__xludf.DUMMYFUNCTION("IMPORTRANGE(""https://docs.google.com/spreadsheets/d/1SX6NBoVAgQJ6U1MVXOaj8PK2l7WJ3RER9xtqwdhxkhw/edit?usp=sharing"",""สุพรรณบุรี!I320"")"),50)</f>
        <v>50</v>
      </c>
      <c r="J425" s="394">
        <f ca="1">IFERROR(__xludf.DUMMYFUNCTION("IMPORTRANGE(""https://docs.google.com/spreadsheets/d/1SX6NBoVAgQJ6U1MVXOaj8PK2l7WJ3RER9xtqwdhxkhw/edit?usp=sharing"",""สุพรรณบุรี!J320"")"),50)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IFERROR(__xludf.DUMMYFUNCTION("IMPORTRANGE(""https://docs.google.com/spreadsheets/d/1SX6NBoVAgQJ6U1MVXOaj8PK2l7WJ3RER9xtqwdhxkhw/edit?usp=sharing"",""สุพรรณบุรี!I321"")"),10)</f>
        <v>10</v>
      </c>
      <c r="J426" s="392">
        <f ca="1">IFERROR(__xludf.DUMMYFUNCTION("IMPORTRANGE(""https://docs.google.com/spreadsheets/d/1SX6NBoVAgQJ6U1MVXOaj8PK2l7WJ3RER9xtqwdhxkhw/edit?usp=sharing"",""สุพรรณบุรี!J321"")"),10)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IFERROR(__xludf.DUMMYFUNCTION("IMPORTRANGE(""https://docs.google.com/spreadsheets/d/1SX6NBoVAgQJ6U1MVXOaj8PK2l7WJ3RER9xtqwdhxkhw/edit?usp=sharing"",""สุพรรณบุรี!I322"")"),30)</f>
        <v>30</v>
      </c>
      <c r="J427" s="393">
        <f ca="1">IFERROR(__xludf.DUMMYFUNCTION("IMPORTRANGE(""https://docs.google.com/spreadsheets/d/1SX6NBoVAgQJ6U1MVXOaj8PK2l7WJ3RER9xtqwdhxkhw/edit?usp=sharing"",""สุพรรณบุรี!J322"")"),30)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IFERROR(__xludf.DUMMYFUNCTION("IMPORTRANGE(""https://docs.google.com/spreadsheets/d/1SX6NBoVAgQJ6U1MVXOaj8PK2l7WJ3RER9xtqwdhxkhw/edit?usp=sharing"",""สุพรรณบุรี!I323"")"),10)</f>
        <v>10</v>
      </c>
      <c r="J428" s="394">
        <f ca="1">IFERROR(__xludf.DUMMYFUNCTION("IMPORTRANGE(""https://docs.google.com/spreadsheets/d/1SX6NBoVAgQJ6U1MVXOaj8PK2l7WJ3RER9xtqwdhxkhw/edit?usp=sharing"",""สุพรรณบุรี!J323"")"),10)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IFERROR(__xludf.DUMMYFUNCTION("IMPORTRANGE(""https://docs.google.com/spreadsheets/d/1SX6NBoVAgQJ6U1MVXOaj8PK2l7WJ3RER9xtqwdhxkhw/edit?usp=sharing"",""สุพรรณบุรี!I324"")"),10)</f>
        <v>10</v>
      </c>
      <c r="J429" s="394">
        <f ca="1">IFERROR(__xludf.DUMMYFUNCTION("IMPORTRANGE(""https://docs.google.com/spreadsheets/d/1SX6NBoVAgQJ6U1MVXOaj8PK2l7WJ3RER9xtqwdhxkhw/edit?usp=sharing"",""สุพรรณบุรี!J324"")"),10)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IFERROR(__xludf.DUMMYFUNCTION("IMPORTRANGE(""https://docs.google.com/spreadsheets/d/1SX6NBoVAgQJ6U1MVXOaj8PK2l7WJ3RER9xtqwdhxkhw/edit?usp=sharing"",""สุพรรณบุรี!I325"")"),50)</f>
        <v>50</v>
      </c>
      <c r="J430" s="392">
        <f ca="1">IFERROR(__xludf.DUMMYFUNCTION("IMPORTRANGE(""https://docs.google.com/spreadsheets/d/1SX6NBoVAgQJ6U1MVXOaj8PK2l7WJ3RER9xtqwdhxkhw/edit?usp=sharing"",""สุพรรณบุรี!J325"")"),50)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IFERROR(__xludf.DUMMYFUNCTION("IMPORTRANGE(""https://docs.google.com/spreadsheets/d/1SX6NBoVAgQJ6U1MVXOaj8PK2l7WJ3RER9xtqwdhxkhw/edit?usp=sharing"",""สุพรรณบุรี!I326"")"),0)</f>
        <v>0</v>
      </c>
      <c r="J431" s="394">
        <f ca="1">IFERROR(__xludf.DUMMYFUNCTION("IMPORTRANGE(""https://docs.google.com/spreadsheets/d/1SX6NBoVAgQJ6U1MVXOaj8PK2l7WJ3RER9xtqwdhxkhw/edit?usp=sharing"",""สุพรรณบุรี!J326"")"),0)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IFERROR(__xludf.DUMMYFUNCTION("IMPORTRANGE(""https://docs.google.com/spreadsheets/d/1SX6NBoVAgQJ6U1MVXOaj8PK2l7WJ3RER9xtqwdhxkhw/edit?usp=sharing"",""สุพรรณบุรี!I327"")"),50)</f>
        <v>50</v>
      </c>
      <c r="J432" s="394">
        <f ca="1">IFERROR(__xludf.DUMMYFUNCTION("IMPORTRANGE(""https://docs.google.com/spreadsheets/d/1SX6NBoVAgQJ6U1MVXOaj8PK2l7WJ3RER9xtqwdhxkhw/edit?usp=sharing"",""สุพรรณบุรี!J327"")"),50)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IFERROR(__xludf.DUMMYFUNCTION("IMPORTRANGE(""https://docs.google.com/spreadsheets/d/1SX6NBoVAgQJ6U1MVXOaj8PK2l7WJ3RER9xtqwdhxkhw/edit?usp=sharing"",""สุพรรณบุรี!J328"")"),0)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IFERROR(__xludf.DUMMYFUNCTION("IMPORTRANGE(""https://docs.google.com/spreadsheets/d/1SX6NBoVAgQJ6U1MVXOaj8PK2l7WJ3RER9xtqwdhxkhw/edit?usp=sharing"",""สุพรรณบุรี!J329"")"),0)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IFERROR(__xludf.DUMMYFUNCTION("IMPORTRANGE(""https://docs.google.com/spreadsheets/d/1SX6NBoVAgQJ6U1MVXOaj8PK2l7WJ3RER9xtqwdhxkhw/edit?usp=sharing"",""สุพรรณบุรี!I330"")"),45)</f>
        <v>45</v>
      </c>
      <c r="J435" s="410">
        <f ca="1">IFERROR(__xludf.DUMMYFUNCTION("IMPORTRANGE(""https://docs.google.com/spreadsheets/d/1SX6NBoVAgQJ6U1MVXOaj8PK2l7WJ3RER9xtqwdhxkhw/edit?usp=sharing"",""สุพรรณบุรี!J330"")"),45)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2"/>
      <c r="N435" s="412">
        <f ca="1">IFERROR(__xludf.DUMMYFUNCTION("IMPORTRANGE(""https://docs.google.com/spreadsheets/d/1SX6NBoVAgQJ6U1MVXOaj8PK2l7WJ3RER9xtqwdhxkhw/edit?usp=sharing"",""สุพรรณบุรี!M330"")"),166500)</f>
        <v>166500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IFERROR(__xludf.DUMMYFUNCTION("IMPORTRANGE(""https://docs.google.com/spreadsheets/d/1SX6NBoVAgQJ6U1MVXOaj8PK2l7WJ3RER9xtqwdhxkhw/edit?usp=sharing"",""สุพรรณบุรี!L331"")"),0)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IFERROR(__xludf.DUMMYFUNCTION("IMPORTRANGE(""https://docs.google.com/spreadsheets/d/1SX6NBoVAgQJ6U1MVXOaj8PK2l7WJ3RER9xtqwdhxkhw/edit?usp=sharing"",""สุพรรณบุรี!M331"")"),0)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5"/>
      <c r="N437" s="169">
        <f ca="1">IFERROR(__xludf.DUMMYFUNCTION("IMPORTRANGE(""https://docs.google.com/spreadsheets/d/1SX6NBoVAgQJ6U1MVXOaj8PK2l7WJ3RER9xtqwdhxkhw/edit?usp=sharing"",""สุพรรณบุรี!M332"")"),166500)</f>
        <v>166500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IFERROR(__xludf.DUMMYFUNCTION("IMPORTRANGE(""https://docs.google.com/spreadsheets/d/1SX6NBoVAgQJ6U1MVXOaj8PK2l7WJ3RER9xtqwdhxkhw/edit?usp=sharing"",""สุพรรณบุรี!L333"")"),0)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IFERROR(__xludf.DUMMYFUNCTION("IMPORTRANGE(""https://docs.google.com/spreadsheets/d/1SX6NBoVAgQJ6U1MVXOaj8PK2l7WJ3RER9xtqwdhxkhw/edit?usp=sharing"",""สุพรรณบุรี!M333"")"),0)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IFERROR(__xludf.DUMMYFUNCTION("IMPORTRANGE(""https://docs.google.com/spreadsheets/d/1SX6NBoVAgQJ6U1MVXOaj8PK2l7WJ3RER9xtqwdhxkhw/edit?usp=sharing"",""สุพรรณบุรี!L334"")"),166500)</f>
        <v>166500</v>
      </c>
      <c r="M439" s="169"/>
      <c r="N439" s="169">
        <f ca="1">IFERROR(__xludf.DUMMYFUNCTION("IMPORTRANGE(""https://docs.google.com/spreadsheets/d/1SX6NBoVAgQJ6U1MVXOaj8PK2l7WJ3RER9xtqwdhxkhw/edit?usp=sharing"",""สุพรรณบุรี!M334"")"),166500)</f>
        <v>166500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IFERROR(__xludf.DUMMYFUNCTION("IMPORTRANGE(""https://docs.google.com/spreadsheets/d/1SX6NBoVAgQJ6U1MVXOaj8PK2l7WJ3RER9xtqwdhxkhw/edit?usp=sharing"",""สุพรรณบุรี!M335"")"),122700)</f>
        <v>122700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IFERROR(__xludf.DUMMYFUNCTION("IMPORTRANGE(""https://docs.google.com/spreadsheets/d/1SX6NBoVAgQJ6U1MVXOaj8PK2l7WJ3RER9xtqwdhxkhw/edit?usp=sharing"",""สุพรรณบุรี!M336"")"),0)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IFERROR(__xludf.DUMMYFUNCTION("IMPORTRANGE(""https://docs.google.com/spreadsheets/d/1SX6NBoVAgQJ6U1MVXOaj8PK2l7WJ3RER9xtqwdhxkhw/edit?usp=sharing"",""สุพรรณบุรี!M337"")"),0)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IFERROR(__xludf.DUMMYFUNCTION("IMPORTRANGE(""https://docs.google.com/spreadsheets/d/1SX6NBoVAgQJ6U1MVXOaj8PK2l7WJ3RER9xtqwdhxkhw/edit?usp=sharing"",""สุพรรณบุรี!M338"")"),43800)</f>
        <v>43800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IFERROR(__xludf.DUMMYFUNCTION("IMPORTRANGE(""https://docs.google.com/spreadsheets/d/1SX6NBoVAgQJ6U1MVXOaj8PK2l7WJ3RER9xtqwdhxkhw/edit?usp=sharing"",""สุพรรณบุรี!J340"")"),0)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IFERROR(__xludf.DUMMYFUNCTION("IMPORTRANGE(""https://docs.google.com/spreadsheets/d/1SX6NBoVAgQJ6U1MVXOaj8PK2l7WJ3RER9xtqwdhxkhw/edit?usp=sharing"",""สุพรรณบุรี!J341"")"),1)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IFERROR(__xludf.DUMMYFUNCTION("IMPORTRANGE(""https://docs.google.com/spreadsheets/d/1SX6NBoVAgQJ6U1MVXOaj8PK2l7WJ3RER9xtqwdhxkhw/edit?usp=sharing"",""สุพรรณบุรี!J342"")"),1)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IFERROR(__xludf.DUMMYFUNCTION("IMPORTRANGE(""https://docs.google.com/spreadsheets/d/1SX6NBoVAgQJ6U1MVXOaj8PK2l7WJ3RER9xtqwdhxkhw/edit?usp=sharing"",""สุพรรณบุรี!J343"")"),1)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IFERROR(__xludf.DUMMYFUNCTION("IMPORTRANGE(""https://docs.google.com/spreadsheets/d/1SX6NBoVAgQJ6U1MVXOaj8PK2l7WJ3RER9xtqwdhxkhw/edit?usp=sharing"",""สุพรรณบุรี!I344"")"),45)</f>
        <v>45</v>
      </c>
      <c r="J449" s="201">
        <f ca="1">IFERROR(__xludf.DUMMYFUNCTION("IMPORTRANGE(""https://docs.google.com/spreadsheets/d/1SX6NBoVAgQJ6U1MVXOaj8PK2l7WJ3RER9xtqwdhxkhw/edit?usp=sharing"",""สุพรรณบุรี!J344"")"),45)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IFERROR(__xludf.DUMMYFUNCTION("IMPORTRANGE(""https://docs.google.com/spreadsheets/d/1SX6NBoVAgQJ6U1MVXOaj8PK2l7WJ3RER9xtqwdhxkhw/edit?usp=sharing"",""สุพรรณบุรี!I345"")"),15)</f>
        <v>15</v>
      </c>
      <c r="J450" s="189">
        <f ca="1">IFERROR(__xludf.DUMMYFUNCTION("IMPORTRANGE(""https://docs.google.com/spreadsheets/d/1SX6NBoVAgQJ6U1MVXOaj8PK2l7WJ3RER9xtqwdhxkhw/edit?usp=sharing"",""สุพรรณบุรี!J345"")"),15)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IFERROR(__xludf.DUMMYFUNCTION("IMPORTRANGE(""https://docs.google.com/spreadsheets/d/1SX6NBoVAgQJ6U1MVXOaj8PK2l7WJ3RER9xtqwdhxkhw/edit?usp=sharing"",""สุพรรณบุรี!I346"")"),30)</f>
        <v>30</v>
      </c>
      <c r="J451" s="188">
        <f ca="1">IFERROR(__xludf.DUMMYFUNCTION("IMPORTRANGE(""https://docs.google.com/spreadsheets/d/1SX6NBoVAgQJ6U1MVXOaj8PK2l7WJ3RER9xtqwdhxkhw/edit?usp=sharing"",""สุพรรณบุรี!J346"")"),30)</f>
        <v>30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IFERROR(__xludf.DUMMYFUNCTION("IMPORTRANGE(""https://docs.google.com/spreadsheets/d/1SX6NBoVAgQJ6U1MVXOaj8PK2l7WJ3RER9xtqwdhxkhw/edit?usp=sharing"",""สุพรรณบุรี!I347"")"),0)</f>
        <v>0</v>
      </c>
      <c r="J452" s="188">
        <f ca="1">IFERROR(__xludf.DUMMYFUNCTION("IMPORTRANGE(""https://docs.google.com/spreadsheets/d/1SX6NBoVAgQJ6U1MVXOaj8PK2l7WJ3RER9xtqwdhxkhw/edit?usp=sharing"",""สุพรรณบุรี!J347"")"),0)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IFERROR(__xludf.DUMMYFUNCTION("IMPORTRANGE(""https://docs.google.com/spreadsheets/d/1SX6NBoVAgQJ6U1MVXOaj8PK2l7WJ3RER9xtqwdhxkhw/edit?usp=sharing"",""สุพรรณบุรี!J348"")"),0)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IFERROR(__xludf.DUMMYFUNCTION("IMPORTRANGE(""https://docs.google.com/spreadsheets/d/1SX6NBoVAgQJ6U1MVXOaj8PK2l7WJ3RER9xtqwdhxkhw/edit?usp=sharing"",""สุพรรณบุรี!J349"")"),0)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IFERROR(__xludf.DUMMYFUNCTION("IMPORTRANGE(""https://docs.google.com/spreadsheets/d/1SX6NBoVAgQJ6U1MVXOaj8PK2l7WJ3RER9xtqwdhxkhw/edit?usp=sharing"",""สุพรรณบุรี!I350"")"),37350)</f>
        <v>37350</v>
      </c>
      <c r="J455" s="371">
        <f ca="1">IFERROR(__xludf.DUMMYFUNCTION("IMPORTRANGE(""https://docs.google.com/spreadsheets/d/1SX6NBoVAgQJ6U1MVXOaj8PK2l7WJ3RER9xtqwdhxkhw/edit?usp=sharing"",""สุพรรณบุรี!J350"")"),37350)</f>
        <v>37350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IFERROR(__xludf.DUMMYFUNCTION("IMPORTRANGE(""https://docs.google.com/spreadsheets/d/1SX6NBoVAgQJ6U1MVXOaj8PK2l7WJ3RER9xtqwdhxkhw/edit?usp=sharing"",""สุพรรณบุรี!L350"")"),443595)</f>
        <v>443595</v>
      </c>
      <c r="M455" s="373"/>
      <c r="N455" s="373">
        <f ca="1">IFERROR(__xludf.DUMMYFUNCTION("IMPORTRANGE(""https://docs.google.com/spreadsheets/d/1SX6NBoVAgQJ6U1MVXOaj8PK2l7WJ3RER9xtqwdhxkhw/edit?usp=sharing"",""สุพรรณบุรี!M350"")"),329018.93)</f>
        <v>329018.93</v>
      </c>
      <c r="O455" s="373">
        <f t="shared" ref="O455:O459" ca="1" si="116">+IF(L455&gt;0,N455*100/L455,0)</f>
        <v>74.171018609317059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IFERROR(__xludf.DUMMYFUNCTION("IMPORTRANGE(""https://docs.google.com/spreadsheets/d/1SX6NBoVAgQJ6U1MVXOaj8PK2l7WJ3RER9xtqwdhxkhw/edit?usp=sharing"",""สุพรรณบุรี!L351"")"),0)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IFERROR(__xludf.DUMMYFUNCTION("IMPORTRANGE(""https://docs.google.com/spreadsheets/d/1SX6NBoVAgQJ6U1MVXOaj8PK2l7WJ3RER9xtqwdhxkhw/edit?usp=sharing"",""สุพรรณบุรี!M351"")"),0)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IFERROR(__xludf.DUMMYFUNCTION("IMPORTRANGE(""https://docs.google.com/spreadsheets/d/1SX6NBoVAgQJ6U1MVXOaj8PK2l7WJ3RER9xtqwdhxkhw/edit?usp=sharing"",""สุพรรณบุรี!L352"")"),443595)</f>
        <v>443595</v>
      </c>
      <c r="M457" s="165"/>
      <c r="N457" s="169">
        <f ca="1">IFERROR(__xludf.DUMMYFUNCTION("IMPORTRANGE(""https://docs.google.com/spreadsheets/d/1SX6NBoVAgQJ6U1MVXOaj8PK2l7WJ3RER9xtqwdhxkhw/edit?usp=sharing"",""สุพรรณบุรี!M352"")"),329018.93)</f>
        <v>329018.93</v>
      </c>
      <c r="O457" s="169">
        <f t="shared" ca="1" si="116"/>
        <v>74.171018609317059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IFERROR(__xludf.DUMMYFUNCTION("IMPORTRANGE(""https://docs.google.com/spreadsheets/d/1SX6NBoVAgQJ6U1MVXOaj8PK2l7WJ3RER9xtqwdhxkhw/edit?usp=sharing"",""สุพรรณบุรี!L353"")"),0)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IFERROR(__xludf.DUMMYFUNCTION("IMPORTRANGE(""https://docs.google.com/spreadsheets/d/1SX6NBoVAgQJ6U1MVXOaj8PK2l7WJ3RER9xtqwdhxkhw/edit?usp=sharing"",""สุพรรณบุรี!M353"")"),0)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IFERROR(__xludf.DUMMYFUNCTION("IMPORTRANGE(""https://docs.google.com/spreadsheets/d/1SX6NBoVAgQJ6U1MVXOaj8PK2l7WJ3RER9xtqwdhxkhw/edit?usp=sharing"",""สุพรรณบุรี!L354"")"),443595)</f>
        <v>443595</v>
      </c>
      <c r="M459" s="169"/>
      <c r="N459" s="169">
        <f ca="1">IFERROR(__xludf.DUMMYFUNCTION("IMPORTRANGE(""https://docs.google.com/spreadsheets/d/1SX6NBoVAgQJ6U1MVXOaj8PK2l7WJ3RER9xtqwdhxkhw/edit?usp=sharing"",""สุพรรณบุรี!M354"")"),329018.93)</f>
        <v>329018.93</v>
      </c>
      <c r="O459" s="169">
        <f t="shared" ca="1" si="116"/>
        <v>74.171018609317059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IFERROR(__xludf.DUMMYFUNCTION("IMPORTRANGE(""https://docs.google.com/spreadsheets/d/1SX6NBoVAgQJ6U1MVXOaj8PK2l7WJ3RER9xtqwdhxkhw/edit?usp=sharing"",""สุพรรณบุรี!M355"")"),0)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IFERROR(__xludf.DUMMYFUNCTION("IMPORTRANGE(""https://docs.google.com/spreadsheets/d/1SX6NBoVAgQJ6U1MVXOaj8PK2l7WJ3RER9xtqwdhxkhw/edit?usp=sharing"",""สุพรรณบุรี!M356"")"),0)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IFERROR(__xludf.DUMMYFUNCTION("IMPORTRANGE(""https://docs.google.com/spreadsheets/d/1SX6NBoVAgQJ6U1MVXOaj8PK2l7WJ3RER9xtqwdhxkhw/edit?usp=sharing"",""สุพรรณบุรี!M357"")"),104483.93)</f>
        <v>104483.93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IFERROR(__xludf.DUMMYFUNCTION("IMPORTRANGE(""https://docs.google.com/spreadsheets/d/1SX6NBoVAgQJ6U1MVXOaj8PK2l7WJ3RER9xtqwdhxkhw/edit?usp=sharing"",""สุพรรณบุรี!M358"")"),224535)</f>
        <v>224535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IFERROR(__xludf.DUMMYFUNCTION("IMPORTRANGE(""https://docs.google.com/spreadsheets/d/1SX6NBoVAgQJ6U1MVXOaj8PK2l7WJ3RER9xtqwdhxkhw/edit?usp=sharing"",""สุพรรณบุรี!I359"")"),37350)</f>
        <v>37350</v>
      </c>
      <c r="J464" s="268">
        <f ca="1">IFERROR(__xludf.DUMMYFUNCTION("IMPORTRANGE(""https://docs.google.com/spreadsheets/d/1SX6NBoVAgQJ6U1MVXOaj8PK2l7WJ3RER9xtqwdhxkhw/edit?usp=sharing"",""สุพรรณบุรี!J359"")"),37350)</f>
        <v>37350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IFERROR(__xludf.DUMMYFUNCTION("IMPORTRANGE(""https://docs.google.com/spreadsheets/d/1SX6NBoVAgQJ6U1MVXOaj8PK2l7WJ3RER9xtqwdhxkhw/edit?usp=sharing"",""สุพรรณบุรี!I360"")"),37350)</f>
        <v>37350</v>
      </c>
      <c r="J465" s="420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2">
        <f t="shared" ca="1" si="117"/>
        <v>99.998929049531455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IFERROR(__xludf.DUMMYFUNCTION("IMPORTRANGE(""https://docs.google.com/spreadsheets/d/1SX6NBoVAgQJ6U1MVXOaj8PK2l7WJ3RER9xtqwdhxkhw/edit?usp=sharing"",""สุพรรณบุรี!I361"")"),5113)</f>
        <v>5113</v>
      </c>
      <c r="J466" s="420">
        <f ca="1">IFERROR(__xludf.DUMMYFUNCTION("IMPORTRANGE(""https://docs.google.com/spreadsheets/d/1SX6NBoVAgQJ6U1MVXOaj8PK2l7WJ3RER9xtqwdhxkhw/edit?usp=sharing"",""สุพรรณบุรี!J361"")"),5113)</f>
        <v>5113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IFERROR(__xludf.DUMMYFUNCTION("IMPORTRANGE(""https://docs.google.com/spreadsheets/d/1SX6NBoVAgQJ6U1MVXOaj8PK2l7WJ3RER9xtqwdhxkhw/edit?usp=sharing"",""สุพรรณบุรี!I362"")"),0)</f>
        <v>0</v>
      </c>
      <c r="J467" s="189">
        <f ca="1">IFERROR(__xludf.DUMMYFUNCTION("IMPORTRANGE(""https://docs.google.com/spreadsheets/d/1SX6NBoVAgQJ6U1MVXOaj8PK2l7WJ3RER9xtqwdhxkhw/edit?usp=sharing"",""สุพรรณบุรี!J362"")"),31100)</f>
        <v>31100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IFERROR(__xludf.DUMMYFUNCTION("IMPORTRANGE(""https://docs.google.com/spreadsheets/d/1SX6NBoVAgQJ6U1MVXOaj8PK2l7WJ3RER9xtqwdhxkhw/edit?usp=sharing"",""สุพรรณบุรี!I363"")"),0)</f>
        <v>0</v>
      </c>
      <c r="J468" s="189">
        <f ca="1">IFERROR(__xludf.DUMMYFUNCTION("IMPORTRANGE(""https://docs.google.com/spreadsheets/d/1SX6NBoVAgQJ6U1MVXOaj8PK2l7WJ3RER9xtqwdhxkhw/edit?usp=sharing"",""สุพรรณบุรี!J363"")"),4367)</f>
        <v>4367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IFERROR(__xludf.DUMMYFUNCTION("IMPORTRANGE(""https://docs.google.com/spreadsheets/d/1SX6NBoVAgQJ6U1MVXOaj8PK2l7WJ3RER9xtqwdhxkhw/edit?usp=sharing"",""สุพรรณบุรี!I364"")"),0)</f>
        <v>0</v>
      </c>
      <c r="J469" s="189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IFERROR(__xludf.DUMMYFUNCTION("IMPORTRANGE(""https://docs.google.com/spreadsheets/d/1SX6NBoVAgQJ6U1MVXOaj8PK2l7WJ3RER9xtqwdhxkhw/edit?usp=sharing"",""สุพรรณบุรี!I365"")"),0)</f>
        <v>0</v>
      </c>
      <c r="J470" s="189">
        <f ca="1">IFERROR(__xludf.DUMMYFUNCTION("IMPORTRANGE(""https://docs.google.com/spreadsheets/d/1SX6NBoVAgQJ6U1MVXOaj8PK2l7WJ3RER9xtqwdhxkhw/edit?usp=sharing"",""สุพรรณบุรี!J365"")"),699)</f>
        <v>699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IFERROR(__xludf.DUMMYFUNCTION("IMPORTRANGE(""https://docs.google.com/spreadsheets/d/1SX6NBoVAgQJ6U1MVXOaj8PK2l7WJ3RER9xtqwdhxkhw/edit?usp=sharing"",""สุพรรณบุรี!I366"")"),0)</f>
        <v>0</v>
      </c>
      <c r="J471" s="189">
        <f ca="1">IFERROR(__xludf.DUMMYFUNCTION("IMPORTRANGE(""https://docs.google.com/spreadsheets/d/1SX6NBoVAgQJ6U1MVXOaj8PK2l7WJ3RER9xtqwdhxkhw/edit?usp=sharing"",""สุพรรณบุรี!J366"")"),342.5)</f>
        <v>342.5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IFERROR(__xludf.DUMMYFUNCTION("IMPORTRANGE(""https://docs.google.com/spreadsheets/d/1SX6NBoVAgQJ6U1MVXOaj8PK2l7WJ3RER9xtqwdhxkhw/edit?usp=sharing"",""สุพรรณบุรี!I367"")"),0)</f>
        <v>0</v>
      </c>
      <c r="J472" s="189">
        <f ca="1">IFERROR(__xludf.DUMMYFUNCTION("IMPORTRANGE(""https://docs.google.com/spreadsheets/d/1SX6NBoVAgQJ6U1MVXOaj8PK2l7WJ3RER9xtqwdhxkhw/edit?usp=sharing"",""สุพรรณบุรี!J367"")"),47)</f>
        <v>47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IFERROR(__xludf.DUMMYFUNCTION("IMPORTRANGE(""https://docs.google.com/spreadsheets/d/1SX6NBoVAgQJ6U1MVXOaj8PK2l7WJ3RER9xtqwdhxkhw/edit?usp=sharing"",""สุพรรณบุรี!I368"")"),37350)</f>
        <v>37350</v>
      </c>
      <c r="J473" s="420">
        <f ca="1">IFERROR(__xludf.DUMMYFUNCTION("IMPORTRANGE(""https://docs.google.com/spreadsheets/d/1SX6NBoVAgQJ6U1MVXOaj8PK2l7WJ3RER9xtqwdhxkhw/edit?usp=sharing"",""สุพรรณบุรี!J368"")"),37350)</f>
        <v>37350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IFERROR(__xludf.DUMMYFUNCTION("IMPORTRANGE(""https://docs.google.com/spreadsheets/d/1SX6NBoVAgQJ6U1MVXOaj8PK2l7WJ3RER9xtqwdhxkhw/edit?usp=sharing"",""สุพรรณบุรี!I369"")"),5113)</f>
        <v>5113</v>
      </c>
      <c r="J474" s="420">
        <f ca="1">IFERROR(__xludf.DUMMYFUNCTION("IMPORTRANGE(""https://docs.google.com/spreadsheets/d/1SX6NBoVAgQJ6U1MVXOaj8PK2l7WJ3RER9xtqwdhxkhw/edit?usp=sharing"",""สุพรรณบุรี!J369"")"),5113)</f>
        <v>5113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IFERROR(__xludf.DUMMYFUNCTION("IMPORTRANGE(""https://docs.google.com/spreadsheets/d/1SX6NBoVAgQJ6U1MVXOaj8PK2l7WJ3RER9xtqwdhxkhw/edit?usp=sharing"",""สุพรรณบุรี!I370"")"),0)</f>
        <v>0</v>
      </c>
      <c r="J475" s="189">
        <f ca="1">IFERROR(__xludf.DUMMYFUNCTION("IMPORTRANGE(""https://docs.google.com/spreadsheets/d/1SX6NBoVAgQJ6U1MVXOaj8PK2l7WJ3RER9xtqwdhxkhw/edit?usp=sharing"",""สุพรรณบุรี!J370"")"),32792)</f>
        <v>32792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IFERROR(__xludf.DUMMYFUNCTION("IMPORTRANGE(""https://docs.google.com/spreadsheets/d/1SX6NBoVAgQJ6U1MVXOaj8PK2l7WJ3RER9xtqwdhxkhw/edit?usp=sharing"",""สุพรรณบุรี!I371"")"),0)</f>
        <v>0</v>
      </c>
      <c r="J476" s="189">
        <f ca="1">IFERROR(__xludf.DUMMYFUNCTION("IMPORTRANGE(""https://docs.google.com/spreadsheets/d/1SX6NBoVAgQJ6U1MVXOaj8PK2l7WJ3RER9xtqwdhxkhw/edit?usp=sharing"",""สุพรรณบุรี!J371"")"),4547)</f>
        <v>4547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IFERROR(__xludf.DUMMYFUNCTION("IMPORTRANGE(""https://docs.google.com/spreadsheets/d/1SX6NBoVAgQJ6U1MVXOaj8PK2l7WJ3RER9xtqwdhxkhw/edit?usp=sharing"",""สุพรรณบุรี!I372"")"),0)</f>
        <v>0</v>
      </c>
      <c r="J477" s="189">
        <f ca="1">IFERROR(__xludf.DUMMYFUNCTION("IMPORTRANGE(""https://docs.google.com/spreadsheets/d/1SX6NBoVAgQJ6U1MVXOaj8PK2l7WJ3RER9xtqwdhxkhw/edit?usp=sharing"",""สุพรรณบุรี!J372"")"),4097)</f>
        <v>4097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IFERROR(__xludf.DUMMYFUNCTION("IMPORTRANGE(""https://docs.google.com/spreadsheets/d/1SX6NBoVAgQJ6U1MVXOaj8PK2l7WJ3RER9xtqwdhxkhw/edit?usp=sharing"",""สุพรรณบุรี!I373"")"),0)</f>
        <v>0</v>
      </c>
      <c r="J478" s="189">
        <f ca="1">IFERROR(__xludf.DUMMYFUNCTION("IMPORTRANGE(""https://docs.google.com/spreadsheets/d/1SX6NBoVAgQJ6U1MVXOaj8PK2l7WJ3RER9xtqwdhxkhw/edit?usp=sharing"",""สุพรรณบุรี!J373"")"),489)</f>
        <v>489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IFERROR(__xludf.DUMMYFUNCTION("IMPORTRANGE(""https://docs.google.com/spreadsheets/d/1SX6NBoVAgQJ6U1MVXOaj8PK2l7WJ3RER9xtqwdhxkhw/edit?usp=sharing"",""สุพรรณบุรี!I374"")"),0)</f>
        <v>0</v>
      </c>
      <c r="J479" s="189">
        <f ca="1">IFERROR(__xludf.DUMMYFUNCTION("IMPORTRANGE(""https://docs.google.com/spreadsheets/d/1SX6NBoVAgQJ6U1MVXOaj8PK2l7WJ3RER9xtqwdhxkhw/edit?usp=sharing"",""สุพรรณบุรี!J374"")"),461)</f>
        <v>461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IFERROR(__xludf.DUMMYFUNCTION("IMPORTRANGE(""https://docs.google.com/spreadsheets/d/1SX6NBoVAgQJ6U1MVXOaj8PK2l7WJ3RER9xtqwdhxkhw/edit?usp=sharing"",""สุพรรณบุรี!I375"")"),0)</f>
        <v>0</v>
      </c>
      <c r="J480" s="189">
        <f ca="1">IFERROR(__xludf.DUMMYFUNCTION("IMPORTRANGE(""https://docs.google.com/spreadsheets/d/1SX6NBoVAgQJ6U1MVXOaj8PK2l7WJ3RER9xtqwdhxkhw/edit?usp=sharing"",""สุพรรณบุรี!J375"")"),77)</f>
        <v>77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IFERROR(__xludf.DUMMYFUNCTION("IMPORTRANGE(""https://docs.google.com/spreadsheets/d/1SX6NBoVAgQJ6U1MVXOaj8PK2l7WJ3RER9xtqwdhxkhw/edit?usp=sharing"",""สุพรรณบุรี!I376"")"),37350)</f>
        <v>37350</v>
      </c>
      <c r="J481" s="420">
        <f ca="1">IFERROR(__xludf.DUMMYFUNCTION("IMPORTRANGE(""https://docs.google.com/spreadsheets/d/1SX6NBoVAgQJ6U1MVXOaj8PK2l7WJ3RER9xtqwdhxkhw/edit?usp=sharing"",""สุพรรณบุรี!J376"")"),37350)</f>
        <v>37350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IFERROR(__xludf.DUMMYFUNCTION("IMPORTRANGE(""https://docs.google.com/spreadsheets/d/1SX6NBoVAgQJ6U1MVXOaj8PK2l7WJ3RER9xtqwdhxkhw/edit?usp=sharing"",""สุพรรณบุรี!I377"")"),5113)</f>
        <v>5113</v>
      </c>
      <c r="J482" s="420">
        <f ca="1">IFERROR(__xludf.DUMMYFUNCTION("IMPORTRANGE(""https://docs.google.com/spreadsheets/d/1SX6NBoVAgQJ6U1MVXOaj8PK2l7WJ3RER9xtqwdhxkhw/edit?usp=sharing"",""สุพรรณบุรี!J377"")"),5113)</f>
        <v>5113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IFERROR(__xludf.DUMMYFUNCTION("IMPORTRANGE(""https://docs.google.com/spreadsheets/d/1SX6NBoVAgQJ6U1MVXOaj8PK2l7WJ3RER9xtqwdhxkhw/edit?usp=sharing"",""สุพรรณบุรี!I378"")"),0)</f>
        <v>0</v>
      </c>
      <c r="J483" s="189">
        <f ca="1">IFERROR(__xludf.DUMMYFUNCTION("IMPORTRANGE(""https://docs.google.com/spreadsheets/d/1SX6NBoVAgQJ6U1MVXOaj8PK2l7WJ3RER9xtqwdhxkhw/edit?usp=sharing"",""สุพรรณบุรี!J378"")"),32792)</f>
        <v>32792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IFERROR(__xludf.DUMMYFUNCTION("IMPORTRANGE(""https://docs.google.com/spreadsheets/d/1SX6NBoVAgQJ6U1MVXOaj8PK2l7WJ3RER9xtqwdhxkhw/edit?usp=sharing"",""สุพรรณบุรี!I379"")"),0)</f>
        <v>0</v>
      </c>
      <c r="J484" s="189">
        <f ca="1">IFERROR(__xludf.DUMMYFUNCTION("IMPORTRANGE(""https://docs.google.com/spreadsheets/d/1SX6NBoVAgQJ6U1MVXOaj8PK2l7WJ3RER9xtqwdhxkhw/edit?usp=sharing"",""สุพรรณบุรี!J379"")"),4547)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IFERROR(__xludf.DUMMYFUNCTION("IMPORTRANGE(""https://docs.google.com/spreadsheets/d/1SX6NBoVAgQJ6U1MVXOaj8PK2l7WJ3RER9xtqwdhxkhw/edit?usp=sharing"",""สุพรรณบุรี!I380"")"),0)</f>
        <v>0</v>
      </c>
      <c r="J485" s="189">
        <f ca="1">IFERROR(__xludf.DUMMYFUNCTION("IMPORTRANGE(""https://docs.google.com/spreadsheets/d/1SX6NBoVAgQJ6U1MVXOaj8PK2l7WJ3RER9xtqwdhxkhw/edit?usp=sharing"",""สุพรรณบุรี!J380"")"),4097)</f>
        <v>4097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IFERROR(__xludf.DUMMYFUNCTION("IMPORTRANGE(""https://docs.google.com/spreadsheets/d/1SX6NBoVAgQJ6U1MVXOaj8PK2l7WJ3RER9xtqwdhxkhw/edit?usp=sharing"",""สุพรรณบุรี!I381"")"),0)</f>
        <v>0</v>
      </c>
      <c r="J486" s="189">
        <f ca="1">IFERROR(__xludf.DUMMYFUNCTION("IMPORTRANGE(""https://docs.google.com/spreadsheets/d/1SX6NBoVAgQJ6U1MVXOaj8PK2l7WJ3RER9xtqwdhxkhw/edit?usp=sharing"",""สุพรรณบุรี!J381"")"),489)</f>
        <v>489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IFERROR(__xludf.DUMMYFUNCTION("IMPORTRANGE(""https://docs.google.com/spreadsheets/d/1SX6NBoVAgQJ6U1MVXOaj8PK2l7WJ3RER9xtqwdhxkhw/edit?usp=sharing"",""สุพรรณบุรี!I382"")"),0)</f>
        <v>0</v>
      </c>
      <c r="J487" s="420">
        <f ca="1">IFERROR(__xludf.DUMMYFUNCTION("IMPORTRANGE(""https://docs.google.com/spreadsheets/d/1SX6NBoVAgQJ6U1MVXOaj8PK2l7WJ3RER9xtqwdhxkhw/edit?usp=sharing"",""สุพรรณบุรี!J382"")"),461)</f>
        <v>461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IFERROR(__xludf.DUMMYFUNCTION("IMPORTRANGE(""https://docs.google.com/spreadsheets/d/1SX6NBoVAgQJ6U1MVXOaj8PK2l7WJ3RER9xtqwdhxkhw/edit?usp=sharing"",""สุพรรณบุรี!I383"")"),0)</f>
        <v>0</v>
      </c>
      <c r="J488" s="420">
        <f ca="1">IFERROR(__xludf.DUMMYFUNCTION("IMPORTRANGE(""https://docs.google.com/spreadsheets/d/1SX6NBoVAgQJ6U1MVXOaj8PK2l7WJ3RER9xtqwdhxkhw/edit?usp=sharing"",""สุพรรณบุรี!J383"")"),77)</f>
        <v>77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IFERROR(__xludf.DUMMYFUNCTION("IMPORTRANGE(""https://docs.google.com/spreadsheets/d/1SX6NBoVAgQJ6U1MVXOaj8PK2l7WJ3RER9xtqwdhxkhw/edit?usp=sharing"",""สุพรรณบุรี!I384"")"),0)</f>
        <v>0</v>
      </c>
      <c r="J489" s="189">
        <f ca="1">IFERROR(__xludf.DUMMYFUNCTION("IMPORTRANGE(""https://docs.google.com/spreadsheets/d/1SX6NBoVAgQJ6U1MVXOaj8PK2l7WJ3RER9xtqwdhxkhw/edit?usp=sharing"",""สุพรรณบุรี!J384"")"),461)</f>
        <v>461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IFERROR(__xludf.DUMMYFUNCTION("IMPORTRANGE(""https://docs.google.com/spreadsheets/d/1SX6NBoVAgQJ6U1MVXOaj8PK2l7WJ3RER9xtqwdhxkhw/edit?usp=sharing"",""สุพรรณบุรี!I385"")"),0)</f>
        <v>0</v>
      </c>
      <c r="J490" s="189">
        <f ca="1">IFERROR(__xludf.DUMMYFUNCTION("IMPORTRANGE(""https://docs.google.com/spreadsheets/d/1SX6NBoVAgQJ6U1MVXOaj8PK2l7WJ3RER9xtqwdhxkhw/edit?usp=sharing"",""สุพรรณบุรี!J385"")"),77)</f>
        <v>77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IFERROR(__xludf.DUMMYFUNCTION("IMPORTRANGE(""https://docs.google.com/spreadsheets/d/1SX6NBoVAgQJ6U1MVXOaj8PK2l7WJ3RER9xtqwdhxkhw/edit?usp=sharing"",""สุพรรณบุรี!I386"")"),0)</f>
        <v>0</v>
      </c>
      <c r="J491" s="189">
        <f ca="1">IFERROR(__xludf.DUMMYFUNCTION("IMPORTRANGE(""https://docs.google.com/spreadsheets/d/1SX6NBoVAgQJ6U1MVXOaj8PK2l7WJ3RER9xtqwdhxkhw/edit?usp=sharing"",""สุพรรณบุรี!J386"")"),0)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IFERROR(__xludf.DUMMYFUNCTION("IMPORTRANGE(""https://docs.google.com/spreadsheets/d/1SX6NBoVAgQJ6U1MVXOaj8PK2l7WJ3RER9xtqwdhxkhw/edit?usp=sharing"",""สุพรรณบุรี!I387"")"),0)</f>
        <v>0</v>
      </c>
      <c r="J492" s="189">
        <f ca="1">IFERROR(__xludf.DUMMYFUNCTION("IMPORTRANGE(""https://docs.google.com/spreadsheets/d/1SX6NBoVAgQJ6U1MVXOaj8PK2l7WJ3RER9xtqwdhxkhw/edit?usp=sharing"",""สุพรรณบุรี!J387"")"),0)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IFERROR(__xludf.DUMMYFUNCTION("IMPORTRANGE(""https://docs.google.com/spreadsheets/d/1SX6NBoVAgQJ6U1MVXOaj8PK2l7WJ3RER9xtqwdhxkhw/edit?usp=sharing"",""สุพรรณบุรี!I388"")"),0)</f>
        <v>0</v>
      </c>
      <c r="J493" s="189">
        <f ca="1">IFERROR(__xludf.DUMMYFUNCTION("IMPORTRANGE(""https://docs.google.com/spreadsheets/d/1SX6NBoVAgQJ6U1MVXOaj8PK2l7WJ3RER9xtqwdhxkhw/edit?usp=sharing"",""สุพรรณบุรี!J388"")"),0)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IFERROR(__xludf.DUMMYFUNCTION("IMPORTRANGE(""https://docs.google.com/spreadsheets/d/1SX6NBoVAgQJ6U1MVXOaj8PK2l7WJ3RER9xtqwdhxkhw/edit?usp=sharing"",""สุพรรณบุรี!I389"")"),0)</f>
        <v>0</v>
      </c>
      <c r="J494" s="436">
        <f ca="1">IFERROR(__xludf.DUMMYFUNCTION("IMPORTRANGE(""https://docs.google.com/spreadsheets/d/1SX6NBoVAgQJ6U1MVXOaj8PK2l7WJ3RER9xtqwdhxkhw/edit?usp=sharing"",""สุพรรณบุรี!J389"")"),0)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IFERROR(__xludf.DUMMYFUNCTION("IMPORTRANGE(""https://docs.google.com/spreadsheets/d/1SX6NBoVAgQJ6U1MVXOaj8PK2l7WJ3RER9xtqwdhxkhw/edit?usp=sharing"",""สุพรรณบุรี!I390"")"),0)</f>
        <v>0</v>
      </c>
      <c r="J495" s="436">
        <f ca="1">IFERROR(__xludf.DUMMYFUNCTION("IMPORTRANGE(""https://docs.google.com/spreadsheets/d/1SX6NBoVAgQJ6U1MVXOaj8PK2l7WJ3RER9xtqwdhxkhw/edit?usp=sharing"",""สุพรรณบุรี!J390"")"),0)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IFERROR(__xludf.DUMMYFUNCTION("IMPORTRANGE(""https://docs.google.com/spreadsheets/d/1SX6NBoVAgQJ6U1MVXOaj8PK2l7WJ3RER9xtqwdhxkhw/edit?usp=sharing"",""สุพรรณบุรี!I391"")"),0)</f>
        <v>0</v>
      </c>
      <c r="J496" s="436">
        <f ca="1">IFERROR(__xludf.DUMMYFUNCTION("IMPORTRANGE(""https://docs.google.com/spreadsheets/d/1SX6NBoVAgQJ6U1MVXOaj8PK2l7WJ3RER9xtqwdhxkhw/edit?usp=sharing"",""สุพรรณบุรี!J391"")"),0)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IFERROR(__xludf.DUMMYFUNCTION("IMPORTRANGE(""https://docs.google.com/spreadsheets/d/1SX6NBoVAgQJ6U1MVXOaj8PK2l7WJ3RER9xtqwdhxkhw/edit?usp=sharing"",""สุพรรณบุรี!I392"")"),3062)</f>
        <v>3062</v>
      </c>
      <c r="J497" s="443">
        <f ca="1">IFERROR(__xludf.DUMMYFUNCTION("IMPORTRANGE(""https://docs.google.com/spreadsheets/d/1SX6NBoVAgQJ6U1MVXOaj8PK2l7WJ3RER9xtqwdhxkhw/edit?usp=sharing"",""สุพรรณบุรี!J392"")"),0)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IFERROR(__xludf.DUMMYFUNCTION("IMPORTRANGE(""https://docs.google.com/spreadsheets/d/1SX6NBoVAgQJ6U1MVXOaj8PK2l7WJ3RER9xtqwdhxkhw/edit?usp=sharing"",""สุพรรณบุรี!I393"")"),3062)</f>
        <v>3062</v>
      </c>
      <c r="J498" s="420">
        <f ca="1">IFERROR(__xludf.DUMMYFUNCTION("IMPORTRANGE(""https://docs.google.com/spreadsheets/d/1SX6NBoVAgQJ6U1MVXOaj8PK2l7WJ3RER9xtqwdhxkhw/edit?usp=sharing"",""สุพรรณบุรี!J393"")"),0)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IFERROR(__xludf.DUMMYFUNCTION("IMPORTRANGE(""https://docs.google.com/spreadsheets/d/1SX6NBoVAgQJ6U1MVXOaj8PK2l7WJ3RER9xtqwdhxkhw/edit?usp=sharing"",""สุพรรณบุรี!I394"")"),219)</f>
        <v>219</v>
      </c>
      <c r="J499" s="420">
        <f ca="1">IFERROR(__xludf.DUMMYFUNCTION("IMPORTRANGE(""https://docs.google.com/spreadsheets/d/1SX6NBoVAgQJ6U1MVXOaj8PK2l7WJ3RER9xtqwdhxkhw/edit?usp=sharing"",""สุพรรณบุรี!J394"")"),0)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IFERROR(__xludf.DUMMYFUNCTION("IMPORTRANGE(""https://docs.google.com/spreadsheets/d/1SX6NBoVAgQJ6U1MVXOaj8PK2l7WJ3RER9xtqwdhxkhw/edit?usp=sharing"",""สุพรรณบุรี!I395"")"),0)</f>
        <v>0</v>
      </c>
      <c r="J500" s="162">
        <f ca="1">IFERROR(__xludf.DUMMYFUNCTION("IMPORTRANGE(""https://docs.google.com/spreadsheets/d/1SX6NBoVAgQJ6U1MVXOaj8PK2l7WJ3RER9xtqwdhxkhw/edit?usp=sharing"",""สุพรรณบุรี!J395"")"),0)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IFERROR(__xludf.DUMMYFUNCTION("IMPORTRANGE(""https://docs.google.com/spreadsheets/d/1SX6NBoVAgQJ6U1MVXOaj8PK2l7WJ3RER9xtqwdhxkhw/edit?usp=sharing"",""สุพรรณบุรี!I396"")"),0)</f>
        <v>0</v>
      </c>
      <c r="J501" s="162">
        <f ca="1">IFERROR(__xludf.DUMMYFUNCTION("IMPORTRANGE(""https://docs.google.com/spreadsheets/d/1SX6NBoVAgQJ6U1MVXOaj8PK2l7WJ3RER9xtqwdhxkhw/edit?usp=sharing"",""สุพรรณบุรี!J396"")"),0)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IFERROR(__xludf.DUMMYFUNCTION("IMPORTRANGE(""https://docs.google.com/spreadsheets/d/1SX6NBoVAgQJ6U1MVXOaj8PK2l7WJ3RER9xtqwdhxkhw/edit?usp=sharing"",""สุพรรณบุรี!I397"")"),0)</f>
        <v>0</v>
      </c>
      <c r="J502" s="189">
        <f ca="1">IFERROR(__xludf.DUMMYFUNCTION("IMPORTRANGE(""https://docs.google.com/spreadsheets/d/1SX6NBoVAgQJ6U1MVXOaj8PK2l7WJ3RER9xtqwdhxkhw/edit?usp=sharing"",""สุพรรณบุรี!J397"")"),0)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IFERROR(__xludf.DUMMYFUNCTION("IMPORTRANGE(""https://docs.google.com/spreadsheets/d/1SX6NBoVAgQJ6U1MVXOaj8PK2l7WJ3RER9xtqwdhxkhw/edit?usp=sharing"",""สุพรรณบุรี!I398"")"),0)</f>
        <v>0</v>
      </c>
      <c r="J503" s="198">
        <f ca="1">IFERROR(__xludf.DUMMYFUNCTION("IMPORTRANGE(""https://docs.google.com/spreadsheets/d/1SX6NBoVAgQJ6U1MVXOaj8PK2l7WJ3RER9xtqwdhxkhw/edit?usp=sharing"",""สุพรรณบุรี!J398"")"),0)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IFERROR(__xludf.DUMMYFUNCTION("IMPORTRANGE(""https://docs.google.com/spreadsheets/d/1SX6NBoVAgQJ6U1MVXOaj8PK2l7WJ3RER9xtqwdhxkhw/edit?usp=sharing"",""สุพรรณบุรี!I399"")"),0)</f>
        <v>0</v>
      </c>
      <c r="J504" s="189">
        <f ca="1">IFERROR(__xludf.DUMMYFUNCTION("IMPORTRANGE(""https://docs.google.com/spreadsheets/d/1SX6NBoVAgQJ6U1MVXOaj8PK2l7WJ3RER9xtqwdhxkhw/edit?usp=sharing"",""สุพรรณบุรี!J399"")"),0)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IFERROR(__xludf.DUMMYFUNCTION("IMPORTRANGE(""https://docs.google.com/spreadsheets/d/1SX6NBoVAgQJ6U1MVXOaj8PK2l7WJ3RER9xtqwdhxkhw/edit?usp=sharing"",""สุพรรณบุรี!I400"")"),0)</f>
        <v>0</v>
      </c>
      <c r="J505" s="198">
        <f ca="1">IFERROR(__xludf.DUMMYFUNCTION("IMPORTRANGE(""https://docs.google.com/spreadsheets/d/1SX6NBoVAgQJ6U1MVXOaj8PK2l7WJ3RER9xtqwdhxkhw/edit?usp=sharing"",""สุพรรณบุรี!J400"")"),0)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IFERROR(__xludf.DUMMYFUNCTION("IMPORTRANGE(""https://docs.google.com/spreadsheets/d/1SX6NBoVAgQJ6U1MVXOaj8PK2l7WJ3RER9xtqwdhxkhw/edit?usp=sharing"",""สุพรรณบุรี!I401"")"),0)</f>
        <v>0</v>
      </c>
      <c r="J506" s="189">
        <f ca="1">IFERROR(__xludf.DUMMYFUNCTION("IMPORTRANGE(""https://docs.google.com/spreadsheets/d/1SX6NBoVAgQJ6U1MVXOaj8PK2l7WJ3RER9xtqwdhxkhw/edit?usp=sharing"",""สุพรรณบุรี!J401"")"),0)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IFERROR(__xludf.DUMMYFUNCTION("IMPORTRANGE(""https://docs.google.com/spreadsheets/d/1SX6NBoVAgQJ6U1MVXOaj8PK2l7WJ3RER9xtqwdhxkhw/edit?usp=sharing"",""สุพรรณบุรี!I402"")"),0)</f>
        <v>0</v>
      </c>
      <c r="J507" s="198">
        <f ca="1">IFERROR(__xludf.DUMMYFUNCTION("IMPORTRANGE(""https://docs.google.com/spreadsheets/d/1SX6NBoVAgQJ6U1MVXOaj8PK2l7WJ3RER9xtqwdhxkhw/edit?usp=sharing"",""สุพรรณบุรี!J402"")"),0)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IFERROR(__xludf.DUMMYFUNCTION("IMPORTRANGE(""https://docs.google.com/spreadsheets/d/1SX6NBoVAgQJ6U1MVXOaj8PK2l7WJ3RER9xtqwdhxkhw/edit?usp=sharing"",""สุพรรณบุรี!I403"")"),0)</f>
        <v>0</v>
      </c>
      <c r="J508" s="162">
        <f ca="1">IFERROR(__xludf.DUMMYFUNCTION("IMPORTRANGE(""https://docs.google.com/spreadsheets/d/1SX6NBoVAgQJ6U1MVXOaj8PK2l7WJ3RER9xtqwdhxkhw/edit?usp=sharing"",""สุพรรณบุรี!J403"")"),0)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IFERROR(__xludf.DUMMYFUNCTION("IMPORTRANGE(""https://docs.google.com/spreadsheets/d/1SX6NBoVAgQJ6U1MVXOaj8PK2l7WJ3RER9xtqwdhxkhw/edit?usp=sharing"",""สุพรรณบุรี!I404"")"),0)</f>
        <v>0</v>
      </c>
      <c r="J509" s="162">
        <f ca="1">IFERROR(__xludf.DUMMYFUNCTION("IMPORTRANGE(""https://docs.google.com/spreadsheets/d/1SX6NBoVAgQJ6U1MVXOaj8PK2l7WJ3RER9xtqwdhxkhw/edit?usp=sharing"",""สุพรรณบุรี!J404"")"),0)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IFERROR(__xludf.DUMMYFUNCTION("IMPORTRANGE(""https://docs.google.com/spreadsheets/d/1SX6NBoVAgQJ6U1MVXOaj8PK2l7WJ3RER9xtqwdhxkhw/edit?usp=sharing"",""สุพรรณบุรี!I405"")"),0)</f>
        <v>0</v>
      </c>
      <c r="J510" s="198">
        <f ca="1">IFERROR(__xludf.DUMMYFUNCTION("IMPORTRANGE(""https://docs.google.com/spreadsheets/d/1SX6NBoVAgQJ6U1MVXOaj8PK2l7WJ3RER9xtqwdhxkhw/edit?usp=sharing"",""สุพรรณบุรี!J405"")"),0)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IFERROR(__xludf.DUMMYFUNCTION("IMPORTRANGE(""https://docs.google.com/spreadsheets/d/1SX6NBoVAgQJ6U1MVXOaj8PK2l7WJ3RER9xtqwdhxkhw/edit?usp=sharing"",""สุพรรณบุรี!I406"")"),0)</f>
        <v>0</v>
      </c>
      <c r="J511" s="198">
        <f ca="1">IFERROR(__xludf.DUMMYFUNCTION("IMPORTRANGE(""https://docs.google.com/spreadsheets/d/1SX6NBoVAgQJ6U1MVXOaj8PK2l7WJ3RER9xtqwdhxkhw/edit?usp=sharing"",""สุพรรณบุรี!J406"")"),0)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IFERROR(__xludf.DUMMYFUNCTION("IMPORTRANGE(""https://docs.google.com/spreadsheets/d/1SX6NBoVAgQJ6U1MVXOaj8PK2l7WJ3RER9xtqwdhxkhw/edit?usp=sharing"",""สุพรรณบุรี!I407"")"),0)</f>
        <v>0</v>
      </c>
      <c r="J512" s="198">
        <f ca="1">IFERROR(__xludf.DUMMYFUNCTION("IMPORTRANGE(""https://docs.google.com/spreadsheets/d/1SX6NBoVAgQJ6U1MVXOaj8PK2l7WJ3RER9xtqwdhxkhw/edit?usp=sharing"",""สุพรรณบุรี!J407"")"),0)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IFERROR(__xludf.DUMMYFUNCTION("IMPORTRANGE(""https://docs.google.com/spreadsheets/d/1SX6NBoVAgQJ6U1MVXOaj8PK2l7WJ3RER9xtqwdhxkhw/edit?usp=sharing"",""สุพรรณบุรี!I408"")"),0)</f>
        <v>0</v>
      </c>
      <c r="J513" s="198">
        <f ca="1">IFERROR(__xludf.DUMMYFUNCTION("IMPORTRANGE(""https://docs.google.com/spreadsheets/d/1SX6NBoVAgQJ6U1MVXOaj8PK2l7WJ3RER9xtqwdhxkhw/edit?usp=sharing"",""สุพรรณบุรี!J408"")"),0)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IFERROR(__xludf.DUMMYFUNCTION("IMPORTRANGE(""https://docs.google.com/spreadsheets/d/1SX6NBoVAgQJ6U1MVXOaj8PK2l7WJ3RER9xtqwdhxkhw/edit?usp=sharing"",""สุพรรณบุรี!I409"")"),0)</f>
        <v>0</v>
      </c>
      <c r="J514" s="198">
        <f ca="1">IFERROR(__xludf.DUMMYFUNCTION("IMPORTRANGE(""https://docs.google.com/spreadsheets/d/1SX6NBoVAgQJ6U1MVXOaj8PK2l7WJ3RER9xtqwdhxkhw/edit?usp=sharing"",""สุพรรณบุรี!J409"")"),0)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IFERROR(__xludf.DUMMYFUNCTION("IMPORTRANGE(""https://docs.google.com/spreadsheets/d/1SX6NBoVAgQJ6U1MVXOaj8PK2l7WJ3RER9xtqwdhxkhw/edit?usp=sharing"",""สุพรรณบุรี!I410"")"),0)</f>
        <v>0</v>
      </c>
      <c r="J515" s="198">
        <f ca="1">IFERROR(__xludf.DUMMYFUNCTION("IMPORTRANGE(""https://docs.google.com/spreadsheets/d/1SX6NBoVAgQJ6U1MVXOaj8PK2l7WJ3RER9xtqwdhxkhw/edit?usp=sharing"",""สุพรรณบุรี!J410"")"),0)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IFERROR(__xludf.DUMMYFUNCTION("IMPORTRANGE(""https://docs.google.com/spreadsheets/d/1SX6NBoVAgQJ6U1MVXOaj8PK2l7WJ3RER9xtqwdhxkhw/edit?usp=sharing"",""สุพรรณบุรี!I411"")"),0)</f>
        <v>0</v>
      </c>
      <c r="J516" s="268">
        <f ca="1">IFERROR(__xludf.DUMMYFUNCTION("IMPORTRANGE(""https://docs.google.com/spreadsheets/d/1SX6NBoVAgQJ6U1MVXOaj8PK2l7WJ3RER9xtqwdhxkhw/edit?usp=sharing"",""สุพรรณบุรี!J411"")"),0)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IFERROR(__xludf.DUMMYFUNCTION("IMPORTRANGE(""https://docs.google.com/spreadsheets/d/1SX6NBoVAgQJ6U1MVXOaj8PK2l7WJ3RER9xtqwdhxkhw/edit?usp=sharing"",""สุพรรณบุรี!I412"")"),0)</f>
        <v>0</v>
      </c>
      <c r="J517" s="285">
        <f ca="1">IFERROR(__xludf.DUMMYFUNCTION("IMPORTRANGE(""https://docs.google.com/spreadsheets/d/1SX6NBoVAgQJ6U1MVXOaj8PK2l7WJ3RER9xtqwdhxkhw/edit?usp=sharing"",""สุพรรณบุรี!J412"")"),0)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IFERROR(__xludf.DUMMYFUNCTION("IMPORTRANGE(""https://docs.google.com/spreadsheets/d/1SX6NBoVAgQJ6U1MVXOaj8PK2l7WJ3RER9xtqwdhxkhw/edit?usp=sharing"",""สุพรรณบุรี!I413"")"),0)</f>
        <v>0</v>
      </c>
      <c r="J518" s="285">
        <f ca="1">IFERROR(__xludf.DUMMYFUNCTION("IMPORTRANGE(""https://docs.google.com/spreadsheets/d/1SX6NBoVAgQJ6U1MVXOaj8PK2l7WJ3RER9xtqwdhxkhw/edit?usp=sharing"",""สุพรรณบุรี!J413"")"),0)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IFERROR(__xludf.DUMMYFUNCTION("IMPORTRANGE(""https://docs.google.com/spreadsheets/d/1SX6NBoVAgQJ6U1MVXOaj8PK2l7WJ3RER9xtqwdhxkhw/edit?usp=sharing"",""สุพรรณบุรี!I414"")"),0)</f>
        <v>0</v>
      </c>
      <c r="J519" s="188">
        <f ca="1">IFERROR(__xludf.DUMMYFUNCTION("IMPORTRANGE(""https://docs.google.com/spreadsheets/d/1SX6NBoVAgQJ6U1MVXOaj8PK2l7WJ3RER9xtqwdhxkhw/edit?usp=sharing"",""สุพรรณบุรี!J414"")"),0)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IFERROR(__xludf.DUMMYFUNCTION("IMPORTRANGE(""https://docs.google.com/spreadsheets/d/1SX6NBoVAgQJ6U1MVXOaj8PK2l7WJ3RER9xtqwdhxkhw/edit?usp=sharing"",""สุพรรณบุรี!I415"")"),0)</f>
        <v>0</v>
      </c>
      <c r="J520" s="188">
        <f ca="1">IFERROR(__xludf.DUMMYFUNCTION("IMPORTRANGE(""https://docs.google.com/spreadsheets/d/1SX6NBoVAgQJ6U1MVXOaj8PK2l7WJ3RER9xtqwdhxkhw/edit?usp=sharing"",""สุพรรณบุรี!J415"")"),0)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IFERROR(__xludf.DUMMYFUNCTION("IMPORTRANGE(""https://docs.google.com/spreadsheets/d/1SX6NBoVAgQJ6U1MVXOaj8PK2l7WJ3RER9xtqwdhxkhw/edit?usp=sharing"",""สุพรรณบุรี!I416"")"),0)</f>
        <v>0</v>
      </c>
      <c r="J521" s="188">
        <f ca="1">IFERROR(__xludf.DUMMYFUNCTION("IMPORTRANGE(""https://docs.google.com/spreadsheets/d/1SX6NBoVAgQJ6U1MVXOaj8PK2l7WJ3RER9xtqwdhxkhw/edit?usp=sharing"",""สุพรรณบุรี!J416"")"),0)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IFERROR(__xludf.DUMMYFUNCTION("IMPORTRANGE(""https://docs.google.com/spreadsheets/d/1SX6NBoVAgQJ6U1MVXOaj8PK2l7WJ3RER9xtqwdhxkhw/edit?usp=sharing"",""สุพรรณบุรี!I417"")"),0)</f>
        <v>0</v>
      </c>
      <c r="J522" s="188">
        <f ca="1">IFERROR(__xludf.DUMMYFUNCTION("IMPORTRANGE(""https://docs.google.com/spreadsheets/d/1SX6NBoVAgQJ6U1MVXOaj8PK2l7WJ3RER9xtqwdhxkhw/edit?usp=sharing"",""สุพรรณบุรี!J417"")"),0)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IFERROR(__xludf.DUMMYFUNCTION("IMPORTRANGE(""https://docs.google.com/spreadsheets/d/1SX6NBoVAgQJ6U1MVXOaj8PK2l7WJ3RER9xtqwdhxkhw/edit?usp=sharing"",""สุพรรณบุรี!I418"")"),0)</f>
        <v>0</v>
      </c>
      <c r="J523" s="188">
        <f ca="1">IFERROR(__xludf.DUMMYFUNCTION("IMPORTRANGE(""https://docs.google.com/spreadsheets/d/1SX6NBoVAgQJ6U1MVXOaj8PK2l7WJ3RER9xtqwdhxkhw/edit?usp=sharing"",""สุพรรณบุรี!J418"")"),52)</f>
        <v>52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IFERROR(__xludf.DUMMYFUNCTION("IMPORTRANGE(""https://docs.google.com/spreadsheets/d/1SX6NBoVAgQJ6U1MVXOaj8PK2l7WJ3RER9xtqwdhxkhw/edit?usp=sharing"",""สุพรรณบุรี!I419"")"),0)</f>
        <v>0</v>
      </c>
      <c r="J524" s="188">
        <f ca="1">IFERROR(__xludf.DUMMYFUNCTION("IMPORTRANGE(""https://docs.google.com/spreadsheets/d/1SX6NBoVAgQJ6U1MVXOaj8PK2l7WJ3RER9xtqwdhxkhw/edit?usp=sharing"",""สุพรรณบุรี!J419"")"),4)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IFERROR(__xludf.DUMMYFUNCTION("IMPORTRANGE(""https://docs.google.com/spreadsheets/d/1SX6NBoVAgQJ6U1MVXOaj8PK2l7WJ3RER9xtqwdhxkhw/edit?usp=sharing"",""สุพรรณบุรี!I420"")"),52)</f>
        <v>52</v>
      </c>
      <c r="J525" s="285">
        <f ca="1">IFERROR(__xludf.DUMMYFUNCTION("IMPORTRANGE(""https://docs.google.com/spreadsheets/d/1SX6NBoVAgQJ6U1MVXOaj8PK2l7WJ3RER9xtqwdhxkhw/edit?usp=sharing"",""สุพรรณบุรี!J420"")"),0)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IFERROR(__xludf.DUMMYFUNCTION("IMPORTRANGE(""https://docs.google.com/spreadsheets/d/1SX6NBoVAgQJ6U1MVXOaj8PK2l7WJ3RER9xtqwdhxkhw/edit?usp=sharing"",""สุพรรณบุรี!I421"")"),4)</f>
        <v>4</v>
      </c>
      <c r="J526" s="285">
        <f ca="1">IFERROR(__xludf.DUMMYFUNCTION("IMPORTRANGE(""https://docs.google.com/spreadsheets/d/1SX6NBoVAgQJ6U1MVXOaj8PK2l7WJ3RER9xtqwdhxkhw/edit?usp=sharing"",""สุพรรณบุรี!J421"")"),0)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IFERROR(__xludf.DUMMYFUNCTION("IMPORTRANGE(""https://docs.google.com/spreadsheets/d/1SX6NBoVAgQJ6U1MVXOaj8PK2l7WJ3RER9xtqwdhxkhw/edit?usp=sharing"",""สุพรรณบุรี!I422"")"),0)</f>
        <v>0</v>
      </c>
      <c r="J527" s="198">
        <f ca="1">IFERROR(__xludf.DUMMYFUNCTION("IMPORTRANGE(""https://docs.google.com/spreadsheets/d/1SX6NBoVAgQJ6U1MVXOaj8PK2l7WJ3RER9xtqwdhxkhw/edit?usp=sharing"",""สุพรรณบุรี!J422"")"),0)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IFERROR(__xludf.DUMMYFUNCTION("IMPORTRANGE(""https://docs.google.com/spreadsheets/d/1SX6NBoVAgQJ6U1MVXOaj8PK2l7WJ3RER9xtqwdhxkhw/edit?usp=sharing"",""สุพรรณบุรี!I423"")"),0)</f>
        <v>0</v>
      </c>
      <c r="J528" s="198">
        <f ca="1">IFERROR(__xludf.DUMMYFUNCTION("IMPORTRANGE(""https://docs.google.com/spreadsheets/d/1SX6NBoVAgQJ6U1MVXOaj8PK2l7WJ3RER9xtqwdhxkhw/edit?usp=sharing"",""สุพรรณบุรี!J423"")"),0)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IFERROR(__xludf.DUMMYFUNCTION("IMPORTRANGE(""https://docs.google.com/spreadsheets/d/1SX6NBoVAgQJ6U1MVXOaj8PK2l7WJ3RER9xtqwdhxkhw/edit?usp=sharing"",""สุพรรณบุรี!I424"")"),0)</f>
        <v>0</v>
      </c>
      <c r="J529" s="198">
        <f ca="1">IFERROR(__xludf.DUMMYFUNCTION("IMPORTRANGE(""https://docs.google.com/spreadsheets/d/1SX6NBoVAgQJ6U1MVXOaj8PK2l7WJ3RER9xtqwdhxkhw/edit?usp=sharing"",""สุพรรณบุรี!J424"")"),0)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IFERROR(__xludf.DUMMYFUNCTION("IMPORTRANGE(""https://docs.google.com/spreadsheets/d/1SX6NBoVAgQJ6U1MVXOaj8PK2l7WJ3RER9xtqwdhxkhw/edit?usp=sharing"",""สุพรรณบุรี!I425"")"),0)</f>
        <v>0</v>
      </c>
      <c r="J530" s="198">
        <f ca="1">IFERROR(__xludf.DUMMYFUNCTION("IMPORTRANGE(""https://docs.google.com/spreadsheets/d/1SX6NBoVAgQJ6U1MVXOaj8PK2l7WJ3RER9xtqwdhxkhw/edit?usp=sharing"",""สุพรรณบุรี!J425"")"),0)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IFERROR(__xludf.DUMMYFUNCTION("IMPORTRANGE(""https://docs.google.com/spreadsheets/d/1SX6NBoVAgQJ6U1MVXOaj8PK2l7WJ3RER9xtqwdhxkhw/edit?usp=sharing"",""สุพรรณบุรี!I426"")"),0)</f>
        <v>0</v>
      </c>
      <c r="J531" s="198">
        <f ca="1">IFERROR(__xludf.DUMMYFUNCTION("IMPORTRANGE(""https://docs.google.com/spreadsheets/d/1SX6NBoVAgQJ6U1MVXOaj8PK2l7WJ3RER9xtqwdhxkhw/edit?usp=sharing"",""สุพรรณบุรี!J426"")"),0)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IFERROR(__xludf.DUMMYFUNCTION("IMPORTRANGE(""https://docs.google.com/spreadsheets/d/1SX6NBoVAgQJ6U1MVXOaj8PK2l7WJ3RER9xtqwdhxkhw/edit?usp=sharing"",""สุพรรณบุรี!I427"")"),0)</f>
        <v>0</v>
      </c>
      <c r="J532" s="466">
        <f ca="1">IFERROR(__xludf.DUMMYFUNCTION("IMPORTRANGE(""https://docs.google.com/spreadsheets/d/1SX6NBoVAgQJ6U1MVXOaj8PK2l7WJ3RER9xtqwdhxkhw/edit?usp=sharing"",""สุพรรณบุรี!J427"")"),0)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IFERROR(__xludf.DUMMYFUNCTION("IMPORTRANGE(""https://docs.google.com/spreadsheets/d/1SX6NBoVAgQJ6U1MVXOaj8PK2l7WJ3RER9xtqwdhxkhw/edit?usp=sharing"",""สุพรรณบุรี!I428"")"),22)</f>
        <v>22</v>
      </c>
      <c r="J533" s="410">
        <f ca="1">IFERROR(__xludf.DUMMYFUNCTION("IMPORTRANGE(""https://docs.google.com/spreadsheets/d/1SX6NBoVAgQJ6U1MVXOaj8PK2l7WJ3RER9xtqwdhxkhw/edit?usp=sharing"",""สุพรรณบุรี!J428"")"),22)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IFERROR(__xludf.DUMMYFUNCTION("IMPORTRANGE(""https://docs.google.com/spreadsheets/d/1SX6NBoVAgQJ6U1MVXOaj8PK2l7WJ3RER9xtqwdhxkhw/edit?usp=sharing"",""สุพรรณบุรี!L428"")"),34340)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IFERROR(__xludf.DUMMYFUNCTION("IMPORTRANGE(""https://docs.google.com/spreadsheets/d/1SX6NBoVAgQJ6U1MVXOaj8PK2l7WJ3RER9xtqwdhxkhw/edit?usp=sharing"",""สุพรรณบุรี!M428"")"),34340)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IFERROR(__xludf.DUMMYFUNCTION("IMPORTRANGE(""https://docs.google.com/spreadsheets/d/1SX6NBoVAgQJ6U1MVXOaj8PK2l7WJ3RER9xtqwdhxkhw/edit?usp=sharing"",""สุพรรณบุรี!L429"")"),0)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IFERROR(__xludf.DUMMYFUNCTION("IMPORTRANGE(""https://docs.google.com/spreadsheets/d/1SX6NBoVAgQJ6U1MVXOaj8PK2l7WJ3RER9xtqwdhxkhw/edit?usp=sharing"",""สุพรรณบุรี!M429"")"),0)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IFERROR(__xludf.DUMMYFUNCTION("IMPORTRANGE(""https://docs.google.com/spreadsheets/d/1SX6NBoVAgQJ6U1MVXOaj8PK2l7WJ3RER9xtqwdhxkhw/edit?usp=sharing"",""สุพรรณบุรี!L430"")"),34340)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IFERROR(__xludf.DUMMYFUNCTION("IMPORTRANGE(""https://docs.google.com/spreadsheets/d/1SX6NBoVAgQJ6U1MVXOaj8PK2l7WJ3RER9xtqwdhxkhw/edit?usp=sharing"",""สุพรรณบุรี!M430"")"),34340)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IFERROR(__xludf.DUMMYFUNCTION("IMPORTRANGE(""https://docs.google.com/spreadsheets/d/1SX6NBoVAgQJ6U1MVXOaj8PK2l7WJ3RER9xtqwdhxkhw/edit?usp=sharing"",""สุพรรณบุรี!L431"")"),0)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IFERROR(__xludf.DUMMYFUNCTION("IMPORTRANGE(""https://docs.google.com/spreadsheets/d/1SX6NBoVAgQJ6U1MVXOaj8PK2l7WJ3RER9xtqwdhxkhw/edit?usp=sharing"",""สุพรรณบุรี!M431"")"),0)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IFERROR(__xludf.DUMMYFUNCTION("IMPORTRANGE(""https://docs.google.com/spreadsheets/d/1SX6NBoVAgQJ6U1MVXOaj8PK2l7WJ3RER9xtqwdhxkhw/edit?usp=sharing"",""สุพรรณบุรี!L432"")"),34340)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IFERROR(__xludf.DUMMYFUNCTION("IMPORTRANGE(""https://docs.google.com/spreadsheets/d/1SX6NBoVAgQJ6U1MVXOaj8PK2l7WJ3RER9xtqwdhxkhw/edit?usp=sharing"",""สุพรรณบุรี!M432"")"),34340)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IFERROR(__xludf.DUMMYFUNCTION("IMPORTRANGE(""https://docs.google.com/spreadsheets/d/1SX6NBoVAgQJ6U1MVXOaj8PK2l7WJ3RER9xtqwdhxkhw/edit?usp=sharing"",""สุพรรณบุรี!M433"")"),27945)</f>
        <v>27945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IFERROR(__xludf.DUMMYFUNCTION("IMPORTRANGE(""https://docs.google.com/spreadsheets/d/1SX6NBoVAgQJ6U1MVXOaj8PK2l7WJ3RER9xtqwdhxkhw/edit?usp=sharing"",""สุพรรณบุรี!M434"")"),0)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IFERROR(__xludf.DUMMYFUNCTION("IMPORTRANGE(""https://docs.google.com/spreadsheets/d/1SX6NBoVAgQJ6U1MVXOaj8PK2l7WJ3RER9xtqwdhxkhw/edit?usp=sharing"",""สุพรรณบุรี!M435"")"),0)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IFERROR(__xludf.DUMMYFUNCTION("IMPORTRANGE(""https://docs.google.com/spreadsheets/d/1SX6NBoVAgQJ6U1MVXOaj8PK2l7WJ3RER9xtqwdhxkhw/edit?usp=sharing"",""สุพรรณบุรี!M436"")"),6395)</f>
        <v>6395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IFERROR(__xludf.DUMMYFUNCTION("IMPORTRANGE(""https://docs.google.com/spreadsheets/d/1SX6NBoVAgQJ6U1MVXOaj8PK2l7WJ3RER9xtqwdhxkhw/edit?usp=sharing"",""สุพรรณบุรี!J438"")"),0)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IFERROR(__xludf.DUMMYFUNCTION("IMPORTRANGE(""https://docs.google.com/spreadsheets/d/1SX6NBoVAgQJ6U1MVXOaj8PK2l7WJ3RER9xtqwdhxkhw/edit?usp=sharing"",""สุพรรณบุรี!J439"")"),1)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IFERROR(__xludf.DUMMYFUNCTION("IMPORTRANGE(""https://docs.google.com/spreadsheets/d/1SX6NBoVAgQJ6U1MVXOaj8PK2l7WJ3RER9xtqwdhxkhw/edit?usp=sharing"",""สุพรรณบุรี!J440"")"),1)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IFERROR(__xludf.DUMMYFUNCTION("IMPORTRANGE(""https://docs.google.com/spreadsheets/d/1SX6NBoVAgQJ6U1MVXOaj8PK2l7WJ3RER9xtqwdhxkhw/edit?usp=sharing"",""สุพรรณบุรี!J441"")"),1)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IFERROR(__xludf.DUMMYFUNCTION("IMPORTRANGE(""https://docs.google.com/spreadsheets/d/1SX6NBoVAgQJ6U1MVXOaj8PK2l7WJ3RER9xtqwdhxkhw/edit?usp=sharing"",""สุพรรณบุรี!I442"")"),22)</f>
        <v>22</v>
      </c>
      <c r="J547" s="189">
        <f ca="1">IFERROR(__xludf.DUMMYFUNCTION("IMPORTRANGE(""https://docs.google.com/spreadsheets/d/1SX6NBoVAgQJ6U1MVXOaj8PK2l7WJ3RER9xtqwdhxkhw/edit?usp=sharing"",""สุพรรณบุรี!J442"")"),22)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IFERROR(__xludf.DUMMYFUNCTION("IMPORTRANGE(""https://docs.google.com/spreadsheets/d/1SX6NBoVAgQJ6U1MVXOaj8PK2l7WJ3RER9xtqwdhxkhw/edit?usp=sharing"",""สุพรรณบุรี!J166"")"),0)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IFERROR(__xludf.DUMMYFUNCTION("IMPORTRANGE(""https://docs.google.com/spreadsheets/d/1SX6NBoVAgQJ6U1MVXOaj8PK2l7WJ3RER9xtqwdhxkhw/edit?usp=sharing"",""สุพรรณบุรี!J444"")"),0)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IFERROR(__xludf.DUMMYFUNCTION("IMPORTRANGE(""https://docs.google.com/spreadsheets/d/1SX6NBoVAgQJ6U1MVXOaj8PK2l7WJ3RER9xtqwdhxkhw/edit?usp=sharing"",""สุพรรณบุรี!J445"")"),0)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IFERROR(__xludf.DUMMYFUNCTION("IMPORTRANGE(""https://docs.google.com/spreadsheets/d/1SX6NBoVAgQJ6U1MVXOaj8PK2l7WJ3RER9xtqwdhxkhw/edit?usp=sharing"",""สุพรรณบุรี!I446"")"),0)</f>
        <v>0</v>
      </c>
      <c r="J551" s="410">
        <f ca="1">IFERROR(__xludf.DUMMYFUNCTION("IMPORTRANGE(""https://docs.google.com/spreadsheets/d/1SX6NBoVAgQJ6U1MVXOaj8PK2l7WJ3RER9xtqwdhxkhw/edit?usp=sharing"",""สุพรรณบุรี!J446"")"),0)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IFERROR(__xludf.DUMMYFUNCTION("IMPORTRANGE(""https://docs.google.com/spreadsheets/d/1SX6NBoVAgQJ6U1MVXOaj8PK2l7WJ3RER9xtqwdhxkhw/edit?usp=sharing"",""สุพรรณบุรี!L446"")"),0)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IFERROR(__xludf.DUMMYFUNCTION("IMPORTRANGE(""https://docs.google.com/spreadsheets/d/1SX6NBoVAgQJ6U1MVXOaj8PK2l7WJ3RER9xtqwdhxkhw/edit?usp=sharing"",""สุพรรณบุรี!M446"")"),0)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IFERROR(__xludf.DUMMYFUNCTION("IMPORTRANGE(""https://docs.google.com/spreadsheets/d/1SX6NBoVAgQJ6U1MVXOaj8PK2l7WJ3RER9xtqwdhxkhw/edit?usp=sharing"",""สุพรรณบุรี!L447"")"),0)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IFERROR(__xludf.DUMMYFUNCTION("IMPORTRANGE(""https://docs.google.com/spreadsheets/d/1SX6NBoVAgQJ6U1MVXOaj8PK2l7WJ3RER9xtqwdhxkhw/edit?usp=sharing"",""สุพรรณบุรี!M447"")"),0)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IFERROR(__xludf.DUMMYFUNCTION("IMPORTRANGE(""https://docs.google.com/spreadsheets/d/1SX6NBoVAgQJ6U1MVXOaj8PK2l7WJ3RER9xtqwdhxkhw/edit?usp=sharing"",""สุพรรณบุรี!L448"")"),0)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IFERROR(__xludf.DUMMYFUNCTION("IMPORTRANGE(""https://docs.google.com/spreadsheets/d/1SX6NBoVAgQJ6U1MVXOaj8PK2l7WJ3RER9xtqwdhxkhw/edit?usp=sharing"",""สุพรรณบุรี!M448"")"),0)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IFERROR(__xludf.DUMMYFUNCTION("IMPORTRANGE(""https://docs.google.com/spreadsheets/d/1SX6NBoVAgQJ6U1MVXOaj8PK2l7WJ3RER9xtqwdhxkhw/edit?usp=sharing"",""สุพรรณบุรี!L449"")"),0)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IFERROR(__xludf.DUMMYFUNCTION("IMPORTRANGE(""https://docs.google.com/spreadsheets/d/1SX6NBoVAgQJ6U1MVXOaj8PK2l7WJ3RER9xtqwdhxkhw/edit?usp=sharing"",""สุพรรณบุรี!M449"")"),0)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IFERROR(__xludf.DUMMYFUNCTION("IMPORTRANGE(""https://docs.google.com/spreadsheets/d/1SX6NBoVAgQJ6U1MVXOaj8PK2l7WJ3RER9xtqwdhxkhw/edit?usp=sharing"",""สุพรรณบุรี!L450"")"),0)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IFERROR(__xludf.DUMMYFUNCTION("IMPORTRANGE(""https://docs.google.com/spreadsheets/d/1SX6NBoVAgQJ6U1MVXOaj8PK2l7WJ3RER9xtqwdhxkhw/edit?usp=sharing"",""สุพรรณบุรี!M450"")"),0)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IFERROR(__xludf.DUMMYFUNCTION("IMPORTRANGE(""https://docs.google.com/spreadsheets/d/1SX6NBoVAgQJ6U1MVXOaj8PK2l7WJ3RER9xtqwdhxkhw/edit?usp=sharing"",""สุพรรณบุรี!M451"")"),0)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IFERROR(__xludf.DUMMYFUNCTION("IMPORTRANGE(""https://docs.google.com/spreadsheets/d/1SX6NBoVAgQJ6U1MVXOaj8PK2l7WJ3RER9xtqwdhxkhw/edit?usp=sharing"",""สุพรรณบุรี!M452"")"),0)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IFERROR(__xludf.DUMMYFUNCTION("IMPORTRANGE(""https://docs.google.com/spreadsheets/d/1SX6NBoVAgQJ6U1MVXOaj8PK2l7WJ3RER9xtqwdhxkhw/edit?usp=sharing"",""สุพรรณบุรี!M453"")"),0)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IFERROR(__xludf.DUMMYFUNCTION("IMPORTRANGE(""https://docs.google.com/spreadsheets/d/1SX6NBoVAgQJ6U1MVXOaj8PK2l7WJ3RER9xtqwdhxkhw/edit?usp=sharing"",""สุพรรณบุรี!M454"")"),0)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IFERROR(__xludf.DUMMYFUNCTION("IMPORTRANGE(""https://docs.google.com/spreadsheets/d/1SX6NBoVAgQJ6U1MVXOaj8PK2l7WJ3RER9xtqwdhxkhw/edit?usp=sharing"",""สุพรรณบุรี!I455"")"),0)</f>
        <v>0</v>
      </c>
      <c r="J560" s="162">
        <f ca="1">IFERROR(__xludf.DUMMYFUNCTION("IMPORTRANGE(""https://docs.google.com/spreadsheets/d/1SX6NBoVAgQJ6U1MVXOaj8PK2l7WJ3RER9xtqwdhxkhw/edit?usp=sharing"",""สุพรรณบุรี!J455"")"),0)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IFERROR(__xludf.DUMMYFUNCTION("IMPORTRANGE(""https://docs.google.com/spreadsheets/d/1SX6NBoVAgQJ6U1MVXOaj8PK2l7WJ3RER9xtqwdhxkhw/edit?usp=sharing"",""สุพรรณบุรี!I456"")"),0)</f>
        <v>0</v>
      </c>
      <c r="J561" s="204">
        <f ca="1">IFERROR(__xludf.DUMMYFUNCTION("IMPORTRANGE(""https://docs.google.com/spreadsheets/d/1SX6NBoVAgQJ6U1MVXOaj8PK2l7WJ3RER9xtqwdhxkhw/edit?usp=sharing"",""สุพรรณบุรี!J456"")"),0)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IFERROR(__xludf.DUMMYFUNCTION("IMPORTRANGE(""https://docs.google.com/spreadsheets/d/1SX6NBoVAgQJ6U1MVXOaj8PK2l7WJ3RER9xtqwdhxkhw/edit?usp=sharing"",""สุพรรณบุรี!I459"")"),900)</f>
        <v>900</v>
      </c>
      <c r="J564" s="371">
        <f ca="1">IFERROR(__xludf.DUMMYFUNCTION("IMPORTRANGE(""https://docs.google.com/spreadsheets/d/1SX6NBoVAgQJ6U1MVXOaj8PK2l7WJ3RER9xtqwdhxkhw/edit?usp=sharing"",""สุพรรณบุรี!J459"")"),4192)</f>
        <v>4192</v>
      </c>
      <c r="K564" s="372">
        <f ca="1">IF(I564&gt;0,J564*100/I564,0)</f>
        <v>465.77777777777777</v>
      </c>
      <c r="L564" s="373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3"/>
      <c r="N564" s="373">
        <f ca="1">IFERROR(__xludf.DUMMYFUNCTION("IMPORTRANGE(""https://docs.google.com/spreadsheets/d/1SX6NBoVAgQJ6U1MVXOaj8PK2l7WJ3RER9xtqwdhxkhw/edit?usp=sharing"",""สุพรรณบุรี!M459"")"),101425.52)</f>
        <v>101425.52</v>
      </c>
      <c r="O564" s="373">
        <f t="shared" ref="O564:O568" ca="1" si="122">+IF(L564&gt;0,N564*100/L564,0)</f>
        <v>79.189194253591509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IFERROR(__xludf.DUMMYFUNCTION("IMPORTRANGE(""https://docs.google.com/spreadsheets/d/1SX6NBoVAgQJ6U1MVXOaj8PK2l7WJ3RER9xtqwdhxkhw/edit?usp=sharing"",""สุพรรณบุรี!L460"")"),0)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IFERROR(__xludf.DUMMYFUNCTION("IMPORTRANGE(""https://docs.google.com/spreadsheets/d/1SX6NBoVAgQJ6U1MVXOaj8PK2l7WJ3RER9xtqwdhxkhw/edit?usp=sharing"",""สุพรรณบุรี!M460"")"),0)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5"/>
      <c r="N566" s="169">
        <f ca="1">IFERROR(__xludf.DUMMYFUNCTION("IMPORTRANGE(""https://docs.google.com/spreadsheets/d/1SX6NBoVAgQJ6U1MVXOaj8PK2l7WJ3RER9xtqwdhxkhw/edit?usp=sharing"",""สุพรรณบุรี!M461"")"),101425.52)</f>
        <v>101425.52</v>
      </c>
      <c r="O566" s="169">
        <f t="shared" ca="1" si="122"/>
        <v>79.189194253591509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IFERROR(__xludf.DUMMYFUNCTION("IMPORTRANGE(""https://docs.google.com/spreadsheets/d/1SX6NBoVAgQJ6U1MVXOaj8PK2l7WJ3RER9xtqwdhxkhw/edit?usp=sharing"",""สุพรรณบุรี!L462"")"),0)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IFERROR(__xludf.DUMMYFUNCTION("IMPORTRANGE(""https://docs.google.com/spreadsheets/d/1SX6NBoVAgQJ6U1MVXOaj8PK2l7WJ3RER9xtqwdhxkhw/edit?usp=sharing"",""สุพรรณบุรี!M462"")"),0)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IFERROR(__xludf.DUMMYFUNCTION("IMPORTRANGE(""https://docs.google.com/spreadsheets/d/1SX6NBoVAgQJ6U1MVXOaj8PK2l7WJ3RER9xtqwdhxkhw/edit?usp=sharing"",""สุพรรณบุรี!L463"")"),128080)</f>
        <v>128080</v>
      </c>
      <c r="M568" s="169"/>
      <c r="N568" s="169">
        <f ca="1">IFERROR(__xludf.DUMMYFUNCTION("IMPORTRANGE(""https://docs.google.com/spreadsheets/d/1SX6NBoVAgQJ6U1MVXOaj8PK2l7WJ3RER9xtqwdhxkhw/edit?usp=sharing"",""สุพรรณบุรี!M463"")"),101425.52)</f>
        <v>101425.52</v>
      </c>
      <c r="O568" s="169">
        <f t="shared" ca="1" si="122"/>
        <v>79.189194253591509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IFERROR(__xludf.DUMMYFUNCTION("IMPORTRANGE(""https://docs.google.com/spreadsheets/d/1SX6NBoVAgQJ6U1MVXOaj8PK2l7WJ3RER9xtqwdhxkhw/edit?usp=sharing"",""สุพรรณบุรี!M464"")"),0)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IFERROR(__xludf.DUMMYFUNCTION("IMPORTRANGE(""https://docs.google.com/spreadsheets/d/1SX6NBoVAgQJ6U1MVXOaj8PK2l7WJ3RER9xtqwdhxkhw/edit?usp=sharing"",""สุพรรณบุรี!M465"")"),0)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IFERROR(__xludf.DUMMYFUNCTION("IMPORTRANGE(""https://docs.google.com/spreadsheets/d/1SX6NBoVAgQJ6U1MVXOaj8PK2l7WJ3RER9xtqwdhxkhw/edit?usp=sharing"",""สุพรรณบุรี!M466"")"),97935.52)</f>
        <v>97935.52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IFERROR(__xludf.DUMMYFUNCTION("IMPORTRANGE(""https://docs.google.com/spreadsheets/d/1SX6NBoVAgQJ6U1MVXOaj8PK2l7WJ3RER9xtqwdhxkhw/edit?usp=sharing"",""สุพรรณบุรี!M467"")"),3490)</f>
        <v>3490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IFERROR(__xludf.DUMMYFUNCTION("IMPORTRANGE(""https://docs.google.com/spreadsheets/d/1SX6NBoVAgQJ6U1MVXOaj8PK2l7WJ3RER9xtqwdhxkhw/edit?usp=sharing"",""สุพรรณบุรี!I468"")"),900)</f>
        <v>900</v>
      </c>
      <c r="J573" s="420">
        <f ca="1">IFERROR(__xludf.DUMMYFUNCTION("IMPORTRANGE(""https://docs.google.com/spreadsheets/d/1SX6NBoVAgQJ6U1MVXOaj8PK2l7WJ3RER9xtqwdhxkhw/edit?usp=sharing"",""สุพรรณบุรี!J468"")"),4192)</f>
        <v>4192</v>
      </c>
      <c r="K573" s="202">
        <f ca="1">IF(I573&gt;0,J573*100/I573,0)</f>
        <v>465.77777777777777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IFERROR(__xludf.DUMMYFUNCTION("IMPORTRANGE(""https://docs.google.com/spreadsheets/d/1SX6NBoVAgQJ6U1MVXOaj8PK2l7WJ3RER9xtqwdhxkhw/edit?usp=sharing"",""สุพรรณบุรี!I470"")"),0)</f>
        <v>0</v>
      </c>
      <c r="J575" s="198">
        <f ca="1">IFERROR(__xludf.DUMMYFUNCTION("IMPORTRANGE(""https://docs.google.com/spreadsheets/d/1SX6NBoVAgQJ6U1MVXOaj8PK2l7WJ3RER9xtqwdhxkhw/edit?usp=sharing"",""สุพรรณบุรี!J470"")"),4)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IFERROR(__xludf.DUMMYFUNCTION("IMPORTRANGE(""https://docs.google.com/spreadsheets/d/1SX6NBoVAgQJ6U1MVXOaj8PK2l7WJ3RER9xtqwdhxkhw/edit?usp=sharing"",""สุพรรณบุรี!I471"")"),0)</f>
        <v>0</v>
      </c>
      <c r="J576" s="198">
        <f ca="1">IFERROR(__xludf.DUMMYFUNCTION("IMPORTRANGE(""https://docs.google.com/spreadsheets/d/1SX6NBoVAgQJ6U1MVXOaj8PK2l7WJ3RER9xtqwdhxkhw/edit?usp=sharing"",""สุพรรณบุรี!J471"")"),498)</f>
        <v>498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IFERROR(__xludf.DUMMYFUNCTION("IMPORTRANGE(""https://docs.google.com/spreadsheets/d/1SX6NBoVAgQJ6U1MVXOaj8PK2l7WJ3RER9xtqwdhxkhw/edit?usp=sharing"",""สุพรรณบุรี!I472"")"),0)</f>
        <v>0</v>
      </c>
      <c r="J577" s="189">
        <f ca="1">IFERROR(__xludf.DUMMYFUNCTION("IMPORTRANGE(""https://docs.google.com/spreadsheets/d/1SX6NBoVAgQJ6U1MVXOaj8PK2l7WJ3RER9xtqwdhxkhw/edit?usp=sharing"",""สุพรรณบุรี!J472"")"),3694)</f>
        <v>3694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IFERROR(__xludf.DUMMYFUNCTION("IMPORTRANGE(""https://docs.google.com/spreadsheets/d/1SX6NBoVAgQJ6U1MVXOaj8PK2l7WJ3RER9xtqwdhxkhw/edit?usp=sharing"",""สุพรรณบุรี!I473"")"),0)</f>
        <v>0</v>
      </c>
      <c r="J578" s="198">
        <f ca="1">IFERROR(__xludf.DUMMYFUNCTION("IMPORTRANGE(""https://docs.google.com/spreadsheets/d/1SX6NBoVAgQJ6U1MVXOaj8PK2l7WJ3RER9xtqwdhxkhw/edit?usp=sharing"",""สุพรรณบุรี!J473"")"),0)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IFERROR(__xludf.DUMMYFUNCTION("IMPORTRANGE(""https://docs.google.com/spreadsheets/d/1SX6NBoVAgQJ6U1MVXOaj8PK2l7WJ3RER9xtqwdhxkhw/edit?usp=sharing"",""สุพรรณบุรี!I474"")"),0)</f>
        <v>0</v>
      </c>
      <c r="J579" s="198">
        <f ca="1">IFERROR(__xludf.DUMMYFUNCTION("IMPORTRANGE(""https://docs.google.com/spreadsheets/d/1SX6NBoVAgQJ6U1MVXOaj8PK2l7WJ3RER9xtqwdhxkhw/edit?usp=sharing"",""สุพรรณบุรี!J474"")"),0)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IFERROR(__xludf.DUMMYFUNCTION("IMPORTRANGE(""https://docs.google.com/spreadsheets/d/1SX6NBoVAgQJ6U1MVXOaj8PK2l7WJ3RER9xtqwdhxkhw/edit?usp=sharing"",""สุพรรณบุรี!I475"")"),80)</f>
        <v>80</v>
      </c>
      <c r="J580" s="371">
        <f ca="1">IFERROR(__xludf.DUMMYFUNCTION("IMPORTRANGE(""https://docs.google.com/spreadsheets/d/1SX6NBoVAgQJ6U1MVXOaj8PK2l7WJ3RER9xtqwdhxkhw/edit?usp=sharing"",""สุพรรณบุรี!J475"")"),17)</f>
        <v>17</v>
      </c>
      <c r="K580" s="372">
        <f ca="1">IF(I580&gt;0,J580*100/I580,0)</f>
        <v>21.25</v>
      </c>
      <c r="L580" s="373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3"/>
      <c r="N580" s="373">
        <f ca="1">IFERROR(__xludf.DUMMYFUNCTION("IMPORTRANGE(""https://docs.google.com/spreadsheets/d/1SX6NBoVAgQJ6U1MVXOaj8PK2l7WJ3RER9xtqwdhxkhw/edit?usp=sharing"",""สุพรรณบุรี!M475"")"),148750.729999999)</f>
        <v>148750.72999999899</v>
      </c>
      <c r="O580" s="373">
        <f t="shared" ref="O580:O584" ca="1" si="124">+IF(L580&gt;0,N580*100/L580,0)</f>
        <v>48.236179389065114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IFERROR(__xludf.DUMMYFUNCTION("IMPORTRANGE(""https://docs.google.com/spreadsheets/d/1SX6NBoVAgQJ6U1MVXOaj8PK2l7WJ3RER9xtqwdhxkhw/edit?usp=sharing"",""สุพรรณบุรี!L476"")"),0)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IFERROR(__xludf.DUMMYFUNCTION("IMPORTRANGE(""https://docs.google.com/spreadsheets/d/1SX6NBoVAgQJ6U1MVXOaj8PK2l7WJ3RER9xtqwdhxkhw/edit?usp=sharing"",""สุพรรณบุรี!M476"")"),0)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5"/>
      <c r="N582" s="169">
        <f ca="1">IFERROR(__xludf.DUMMYFUNCTION("IMPORTRANGE(""https://docs.google.com/spreadsheets/d/1SX6NBoVAgQJ6U1MVXOaj8PK2l7WJ3RER9xtqwdhxkhw/edit?usp=sharing"",""สุพรรณบุรี!M477"")"),148750.729999999)</f>
        <v>148750.72999999899</v>
      </c>
      <c r="O582" s="169">
        <f t="shared" ca="1" si="124"/>
        <v>48.236179389065114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IFERROR(__xludf.DUMMYFUNCTION("IMPORTRANGE(""https://docs.google.com/spreadsheets/d/1SX6NBoVAgQJ6U1MVXOaj8PK2l7WJ3RER9xtqwdhxkhw/edit?usp=sharing"",""สุพรรณบุรี!L478"")"),0)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IFERROR(__xludf.DUMMYFUNCTION("IMPORTRANGE(""https://docs.google.com/spreadsheets/d/1SX6NBoVAgQJ6U1MVXOaj8PK2l7WJ3RER9xtqwdhxkhw/edit?usp=sharing"",""สุพรรณบุรี!M478"")"),0)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IFERROR(__xludf.DUMMYFUNCTION("IMPORTRANGE(""https://docs.google.com/spreadsheets/d/1SX6NBoVAgQJ6U1MVXOaj8PK2l7WJ3RER9xtqwdhxkhw/edit?usp=sharing"",""สุพรรณบุรี!L479"")"),308380)</f>
        <v>308380</v>
      </c>
      <c r="M584" s="169"/>
      <c r="N584" s="169">
        <f ca="1">IFERROR(__xludf.DUMMYFUNCTION("IMPORTRANGE(""https://docs.google.com/spreadsheets/d/1SX6NBoVAgQJ6U1MVXOaj8PK2l7WJ3RER9xtqwdhxkhw/edit?usp=sharing"",""สุพรรณบุรี!M479"")"),148750.729999999)</f>
        <v>148750.72999999899</v>
      </c>
      <c r="O584" s="169">
        <f t="shared" ca="1" si="124"/>
        <v>48.236179389065114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IFERROR(__xludf.DUMMYFUNCTION("IMPORTRANGE(""https://docs.google.com/spreadsheets/d/1SX6NBoVAgQJ6U1MVXOaj8PK2l7WJ3RER9xtqwdhxkhw/edit?usp=sharing"",""สุพรรณบุรี!M480"")"),0)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IFERROR(__xludf.DUMMYFUNCTION("IMPORTRANGE(""https://docs.google.com/spreadsheets/d/1SX6NBoVAgQJ6U1MVXOaj8PK2l7WJ3RER9xtqwdhxkhw/edit?usp=sharing"",""สุพรรณบุรี!M481"")"),0)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IFERROR(__xludf.DUMMYFUNCTION("IMPORTRANGE(""https://docs.google.com/spreadsheets/d/1SX6NBoVAgQJ6U1MVXOaj8PK2l7WJ3RER9xtqwdhxkhw/edit?usp=sharing"",""สุพรรณบุรี!M482"")"),79010.73)</f>
        <v>79010.73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IFERROR(__xludf.DUMMYFUNCTION("IMPORTRANGE(""https://docs.google.com/spreadsheets/d/1SX6NBoVAgQJ6U1MVXOaj8PK2l7WJ3RER9xtqwdhxkhw/edit?usp=sharing"",""สุพรรณบุรี!M483"")"),69740)</f>
        <v>69740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IFERROR(__xludf.DUMMYFUNCTION("IMPORTRANGE(""https://docs.google.com/spreadsheets/d/1SX6NBoVAgQJ6U1MVXOaj8PK2l7WJ3RER9xtqwdhxkhw/edit?usp=sharing"",""สุพรรณบุรี!I484"")"),80)</f>
        <v>80</v>
      </c>
      <c r="J589" s="188">
        <f ca="1">IFERROR(__xludf.DUMMYFUNCTION("IMPORTRANGE(""https://docs.google.com/spreadsheets/d/1SX6NBoVAgQJ6U1MVXOaj8PK2l7WJ3RER9xtqwdhxkhw/edit?usp=sharing"",""สุพรรณบุรี!J484"")"),218)</f>
        <v>218</v>
      </c>
      <c r="K589" s="163">
        <f t="shared" ref="K589:K596" ca="1" si="125">IF(I589&gt;0,J589*100/I589,0)</f>
        <v>272.5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IFERROR(__xludf.DUMMYFUNCTION("IMPORTRANGE(""https://docs.google.com/spreadsheets/d/1SX6NBoVAgQJ6U1MVXOaj8PK2l7WJ3RER9xtqwdhxkhw/edit?usp=sharing"",""สุพรรณบุรี!I485"")"),0)</f>
        <v>0</v>
      </c>
      <c r="J590" s="188">
        <f ca="1">IFERROR(__xludf.DUMMYFUNCTION("IMPORTRANGE(""https://docs.google.com/spreadsheets/d/1SX6NBoVAgQJ6U1MVXOaj8PK2l7WJ3RER9xtqwdhxkhw/edit?usp=sharing"",""สุพรรณบุรี!J485"")"),142.07)</f>
        <v>142.07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IFERROR(__xludf.DUMMYFUNCTION("IMPORTRANGE(""https://docs.google.com/spreadsheets/d/1SX6NBoVAgQJ6U1MVXOaj8PK2l7WJ3RER9xtqwdhxkhw/edit?usp=sharing"",""สุพรรณบุรี!I486"")"),80)</f>
        <v>80</v>
      </c>
      <c r="J591" s="188">
        <f ca="1">IFERROR(__xludf.DUMMYFUNCTION("IMPORTRANGE(""https://docs.google.com/spreadsheets/d/1SX6NBoVAgQJ6U1MVXOaj8PK2l7WJ3RER9xtqwdhxkhw/edit?usp=sharing"",""สุพรรณบุรี!J486"")"),177)</f>
        <v>177</v>
      </c>
      <c r="K591" s="163">
        <f t="shared" ca="1" si="125"/>
        <v>221.25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IFERROR(__xludf.DUMMYFUNCTION("IMPORTRANGE(""https://docs.google.com/spreadsheets/d/1SX6NBoVAgQJ6U1MVXOaj8PK2l7WJ3RER9xtqwdhxkhw/edit?usp=sharing"",""สุพรรณบุรี!I487"")"),0)</f>
        <v>0</v>
      </c>
      <c r="J592" s="188">
        <f ca="1">IFERROR(__xludf.DUMMYFUNCTION("IMPORTRANGE(""https://docs.google.com/spreadsheets/d/1SX6NBoVAgQJ6U1MVXOaj8PK2l7WJ3RER9xtqwdhxkhw/edit?usp=sharing"",""สุพรรณบุรี!J487"")"),119.31)</f>
        <v>119.31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IFERROR(__xludf.DUMMYFUNCTION("IMPORTRANGE(""https://docs.google.com/spreadsheets/d/1SX6NBoVAgQJ6U1MVXOaj8PK2l7WJ3RER9xtqwdhxkhw/edit?usp=sharing"",""สุพรรณบุรี!I488"")"),80)</f>
        <v>80</v>
      </c>
      <c r="J593" s="188">
        <f ca="1">IFERROR(__xludf.DUMMYFUNCTION("IMPORTRANGE(""https://docs.google.com/spreadsheets/d/1SX6NBoVAgQJ6U1MVXOaj8PK2l7WJ3RER9xtqwdhxkhw/edit?usp=sharing"",""สุพรรณบุรี!J488"")"),92)</f>
        <v>92</v>
      </c>
      <c r="K593" s="163">
        <f t="shared" ca="1" si="125"/>
        <v>115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IFERROR(__xludf.DUMMYFUNCTION("IMPORTRANGE(""https://docs.google.com/spreadsheets/d/1SX6NBoVAgQJ6U1MVXOaj8PK2l7WJ3RER9xtqwdhxkhw/edit?usp=sharing"",""สุพรรณบุรี!I489"")"),0)</f>
        <v>0</v>
      </c>
      <c r="J594" s="188">
        <f ca="1">IFERROR(__xludf.DUMMYFUNCTION("IMPORTRANGE(""https://docs.google.com/spreadsheets/d/1SX6NBoVAgQJ6U1MVXOaj8PK2l7WJ3RER9xtqwdhxkhw/edit?usp=sharing"",""สุพรรณบุรี!J489"")"),77.63)</f>
        <v>77.63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IFERROR(__xludf.DUMMYFUNCTION("IMPORTRANGE(""https://docs.google.com/spreadsheets/d/1SX6NBoVAgQJ6U1MVXOaj8PK2l7WJ3RER9xtqwdhxkhw/edit?usp=sharing"",""สุพรรณบุรี!I490"")"),80)</f>
        <v>80</v>
      </c>
      <c r="J595" s="188">
        <f ca="1">IFERROR(__xludf.DUMMYFUNCTION("IMPORTRANGE(""https://docs.google.com/spreadsheets/d/1SX6NBoVAgQJ6U1MVXOaj8PK2l7WJ3RER9xtqwdhxkhw/edit?usp=sharing"",""สุพรรณบุรี!J490"")"),17)</f>
        <v>17</v>
      </c>
      <c r="K595" s="163">
        <f t="shared" ca="1" si="125"/>
        <v>21.25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IFERROR(__xludf.DUMMYFUNCTION("IMPORTRANGE(""https://docs.google.com/spreadsheets/d/1SX6NBoVAgQJ6U1MVXOaj8PK2l7WJ3RER9xtqwdhxkhw/edit?usp=sharing"",""สุพรรณบุรี!I491"")"),0)</f>
        <v>0</v>
      </c>
      <c r="J596" s="242">
        <f ca="1">IFERROR(__xludf.DUMMYFUNCTION("IMPORTRANGE(""https://docs.google.com/spreadsheets/d/1SX6NBoVAgQJ6U1MVXOaj8PK2l7WJ3RER9xtqwdhxkhw/edit?usp=sharing"",""สุพรรณบุรี!J491"")"),13.49)</f>
        <v>13.49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IFERROR(__xludf.DUMMYFUNCTION("IMPORTRANGE(""https://docs.google.com/spreadsheets/d/1SX6NBoVAgQJ6U1MVXOaj8PK2l7WJ3RER9xtqwdhxkhw/edit?usp=sharing"",""สุพรรณบุรี!I492"")"),100)</f>
        <v>100</v>
      </c>
      <c r="J597" s="488">
        <f ca="1">IFERROR(__xludf.DUMMYFUNCTION("IMPORTRANGE(""https://docs.google.com/spreadsheets/d/1SX6NBoVAgQJ6U1MVXOaj8PK2l7WJ3RER9xtqwdhxkhw/edit?usp=sharing"",""สุพรรณบุรี!J492"")"),0)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IFERROR(__xludf.DUMMYFUNCTION("IMPORTRANGE(""https://docs.google.com/spreadsheets/d/1SX6NBoVAgQJ6U1MVXOaj8PK2l7WJ3RER9xtqwdhxkhw/edit?usp=sharing"",""สุพรรณบุรี!L492"")"),8900)</f>
        <v>8900</v>
      </c>
      <c r="M597" s="412"/>
      <c r="N597" s="412">
        <f ca="1">IFERROR(__xludf.DUMMYFUNCTION("IMPORTRANGE(""https://docs.google.com/spreadsheets/d/1SX6NBoVAgQJ6U1MVXOaj8PK2l7WJ3RER9xtqwdhxkhw/edit?usp=sharing"",""สุพรรณบุรี!M492"")"),13895)</f>
        <v>13895</v>
      </c>
      <c r="O597" s="412">
        <f t="shared" ref="O597:O601" ca="1" si="126">+IF(L597&gt;0,N597*100/L597,0)</f>
        <v>156.12359550561797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IFERROR(__xludf.DUMMYFUNCTION("IMPORTRANGE(""https://docs.google.com/spreadsheets/d/1SX6NBoVAgQJ6U1MVXOaj8PK2l7WJ3RER9xtqwdhxkhw/edit?usp=sharing"",""สุพรรณบุรี!L493"")"),0)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IFERROR(__xludf.DUMMYFUNCTION("IMPORTRANGE(""https://docs.google.com/spreadsheets/d/1SX6NBoVAgQJ6U1MVXOaj8PK2l7WJ3RER9xtqwdhxkhw/edit?usp=sharing"",""สุพรรณบุรี!M493"")"),0)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IFERROR(__xludf.DUMMYFUNCTION("IMPORTRANGE(""https://docs.google.com/spreadsheets/d/1SX6NBoVAgQJ6U1MVXOaj8PK2l7WJ3RER9xtqwdhxkhw/edit?usp=sharing"",""สุพรรณบุรี!L494"")"),8900)</f>
        <v>8900</v>
      </c>
      <c r="M599" s="165"/>
      <c r="N599" s="169">
        <f ca="1">IFERROR(__xludf.DUMMYFUNCTION("IMPORTRANGE(""https://docs.google.com/spreadsheets/d/1SX6NBoVAgQJ6U1MVXOaj8PK2l7WJ3RER9xtqwdhxkhw/edit?usp=sharing"",""สุพรรณบุรี!M494"")"),13895)</f>
        <v>13895</v>
      </c>
      <c r="O599" s="169">
        <f t="shared" ca="1" si="126"/>
        <v>156.12359550561797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IFERROR(__xludf.DUMMYFUNCTION("IMPORTRANGE(""https://docs.google.com/spreadsheets/d/1SX6NBoVAgQJ6U1MVXOaj8PK2l7WJ3RER9xtqwdhxkhw/edit?usp=sharing"",""สุพรรณบุรี!L495"")"),0)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IFERROR(__xludf.DUMMYFUNCTION("IMPORTRANGE(""https://docs.google.com/spreadsheets/d/1SX6NBoVAgQJ6U1MVXOaj8PK2l7WJ3RER9xtqwdhxkhw/edit?usp=sharing"",""สุพรรณบุรี!M495"")"),0)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IFERROR(__xludf.DUMMYFUNCTION("IMPORTRANGE(""https://docs.google.com/spreadsheets/d/1SX6NBoVAgQJ6U1MVXOaj8PK2l7WJ3RER9xtqwdhxkhw/edit?usp=sharing"",""สุพรรณบุรี!L496"")"),8900)</f>
        <v>8900</v>
      </c>
      <c r="M601" s="169"/>
      <c r="N601" s="169">
        <f ca="1">IFERROR(__xludf.DUMMYFUNCTION("IMPORTRANGE(""https://docs.google.com/spreadsheets/d/1SX6NBoVAgQJ6U1MVXOaj8PK2l7WJ3RER9xtqwdhxkhw/edit?usp=sharing"",""สุพรรณบุรี!M496"")"),13895)</f>
        <v>13895</v>
      </c>
      <c r="O601" s="169">
        <f t="shared" ca="1" si="126"/>
        <v>156.12359550561797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IFERROR(__xludf.DUMMYFUNCTION("IMPORTRANGE(""https://docs.google.com/spreadsheets/d/1SX6NBoVAgQJ6U1MVXOaj8PK2l7WJ3RER9xtqwdhxkhw/edit?usp=sharing"",""สุพรรณบุรี!M497"")"),0)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IFERROR(__xludf.DUMMYFUNCTION("IMPORTRANGE(""https://docs.google.com/spreadsheets/d/1SX6NBoVAgQJ6U1MVXOaj8PK2l7WJ3RER9xtqwdhxkhw/edit?usp=sharing"",""สุพรรณบุรี!M498"")"),0)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IFERROR(__xludf.DUMMYFUNCTION("IMPORTRANGE(""https://docs.google.com/spreadsheets/d/1SX6NBoVAgQJ6U1MVXOaj8PK2l7WJ3RER9xtqwdhxkhw/edit?usp=sharing"",""สุพรรณบุรี!M499"")"),0)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IFERROR(__xludf.DUMMYFUNCTION("IMPORTRANGE(""https://docs.google.com/spreadsheets/d/1SX6NBoVAgQJ6U1MVXOaj8PK2l7WJ3RER9xtqwdhxkhw/edit?usp=sharing"",""สุพรรณบุรี!M500"")"),13895)</f>
        <v>13895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IFERROR(__xludf.DUMMYFUNCTION("IMPORTRANGE(""https://docs.google.com/spreadsheets/d/1SX6NBoVAgQJ6U1MVXOaj8PK2l7WJ3RER9xtqwdhxkhw/edit?usp=sharing"",""สุพรรณบุรี!J502"")"),0)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IFERROR(__xludf.DUMMYFUNCTION("IMPORTRANGE(""https://docs.google.com/spreadsheets/d/1SX6NBoVAgQJ6U1MVXOaj8PK2l7WJ3RER9xtqwdhxkhw/edit?usp=sharing"",""สุพรรณบุรี!J503"")"),1)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IFERROR(__xludf.DUMMYFUNCTION("IMPORTRANGE(""https://docs.google.com/spreadsheets/d/1SX6NBoVAgQJ6U1MVXOaj8PK2l7WJ3RER9xtqwdhxkhw/edit?usp=sharing"",""สุพรรณบุรี!J166"")"),0)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IFERROR(__xludf.DUMMYFUNCTION("IMPORTRANGE(""https://docs.google.com/spreadsheets/d/1SX6NBoVAgQJ6U1MVXOaj8PK2l7WJ3RER9xtqwdhxkhw/edit?usp=sharing"",""สุพรรณบุรี!J166"")"),0)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IFERROR(__xludf.DUMMYFUNCTION("IMPORTRANGE(""https://docs.google.com/spreadsheets/d/1SX6NBoVAgQJ6U1MVXOaj8PK2l7WJ3RER9xtqwdhxkhw/edit?usp=sharing"",""สุพรรณบุรี!I506"")"),100)</f>
        <v>100</v>
      </c>
      <c r="J611" s="162">
        <f ca="1">IFERROR(__xludf.DUMMYFUNCTION("IMPORTRANGE(""https://docs.google.com/spreadsheets/d/1SX6NBoVAgQJ6U1MVXOaj8PK2l7WJ3RER9xtqwdhxkhw/edit?usp=sharing"",""สุพรรณบุรี!J506"")"),0)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IFERROR(__xludf.DUMMYFUNCTION("IMPORTRANGE(""https://docs.google.com/spreadsheets/d/1SX6NBoVAgQJ6U1MVXOaj8PK2l7WJ3RER9xtqwdhxkhw/edit?usp=sharing"",""สุพรรณบุรี!I507"")"),0)</f>
        <v>0</v>
      </c>
      <c r="J612" s="198">
        <f ca="1">IFERROR(__xludf.DUMMYFUNCTION("IMPORTRANGE(""https://docs.google.com/spreadsheets/d/1SX6NBoVAgQJ6U1MVXOaj8PK2l7WJ3RER9xtqwdhxkhw/edit?usp=sharing"",""สุพรรณบุรี!J507"")"),188)</f>
        <v>188</v>
      </c>
      <c r="K612" s="163">
        <f t="shared" ca="1" si="127"/>
        <v>188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IFERROR(__xludf.DUMMYFUNCTION("IMPORTRANGE(""https://docs.google.com/spreadsheets/d/1SX6NBoVAgQJ6U1MVXOaj8PK2l7WJ3RER9xtqwdhxkhw/edit?usp=sharing"",""สุพรรณบุรี!I508"")"),0)</f>
        <v>0</v>
      </c>
      <c r="J613" s="198">
        <f ca="1">IFERROR(__xludf.DUMMYFUNCTION("IMPORTRANGE(""https://docs.google.com/spreadsheets/d/1SX6NBoVAgQJ6U1MVXOaj8PK2l7WJ3RER9xtqwdhxkhw/edit?usp=sharing"",""สุพรรณบุรี!J508"")"),188)</f>
        <v>188</v>
      </c>
      <c r="K613" s="163">
        <f t="shared" ca="1" si="127"/>
        <v>188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IFERROR(__xludf.DUMMYFUNCTION("IMPORTRANGE(""https://docs.google.com/spreadsheets/d/1SX6NBoVAgQJ6U1MVXOaj8PK2l7WJ3RER9xtqwdhxkhw/edit?usp=sharing"",""สุพรรณบุรี!I509"")"),0)</f>
        <v>0</v>
      </c>
      <c r="J614" s="198">
        <f ca="1">IFERROR(__xludf.DUMMYFUNCTION("IMPORTRANGE(""https://docs.google.com/spreadsheets/d/1SX6NBoVAgQJ6U1MVXOaj8PK2l7WJ3RER9xtqwdhxkhw/edit?usp=sharing"",""สุพรรณบุรี!J509"")"),188)</f>
        <v>188</v>
      </c>
      <c r="K614" s="163">
        <f t="shared" ca="1" si="127"/>
        <v>188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IFERROR(__xludf.DUMMYFUNCTION("IMPORTRANGE(""https://docs.google.com/spreadsheets/d/1SX6NBoVAgQJ6U1MVXOaj8PK2l7WJ3RER9xtqwdhxkhw/edit?usp=sharing"",""สุพรรณบุรี!I510"")"),0)</f>
        <v>0</v>
      </c>
      <c r="J615" s="198">
        <f ca="1">IFERROR(__xludf.DUMMYFUNCTION("IMPORTRANGE(""https://docs.google.com/spreadsheets/d/1SX6NBoVAgQJ6U1MVXOaj8PK2l7WJ3RER9xtqwdhxkhw/edit?usp=sharing"",""สุพรรณบุรี!J510"")"),105)</f>
        <v>105</v>
      </c>
      <c r="K615" s="163">
        <f t="shared" ca="1" si="127"/>
        <v>105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IFERROR(__xludf.DUMMYFUNCTION("IMPORTRANGE(""https://docs.google.com/spreadsheets/d/1SX6NBoVAgQJ6U1MVXOaj8PK2l7WJ3RER9xtqwdhxkhw/edit?usp=sharing"",""สุพรรณบุรี!I511"")"),0)</f>
        <v>0</v>
      </c>
      <c r="J616" s="198">
        <f ca="1">IFERROR(__xludf.DUMMYFUNCTION("IMPORTRANGE(""https://docs.google.com/spreadsheets/d/1SX6NBoVAgQJ6U1MVXOaj8PK2l7WJ3RER9xtqwdhxkhw/edit?usp=sharing"",""สุพรรณบุรี!J511"")"),105)</f>
        <v>105</v>
      </c>
      <c r="K616" s="163">
        <f t="shared" ca="1" si="127"/>
        <v>105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IFERROR(__xludf.DUMMYFUNCTION("IMPORTRANGE(""https://docs.google.com/spreadsheets/d/1SX6NBoVAgQJ6U1MVXOaj8PK2l7WJ3RER9xtqwdhxkhw/edit?usp=sharing"",""สุพรรณบุรี!I512"")"),0)</f>
        <v>0</v>
      </c>
      <c r="J617" s="188">
        <f ca="1">IFERROR(__xludf.DUMMYFUNCTION("IMPORTRANGE(""https://docs.google.com/spreadsheets/d/1SX6NBoVAgQJ6U1MVXOaj8PK2l7WJ3RER9xtqwdhxkhw/edit?usp=sharing"",""สุพรรณบุรี!J512"")"),0)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IFERROR(__xludf.DUMMYFUNCTION("IMPORTRANGE(""https://docs.google.com/spreadsheets/d/1SX6NBoVAgQJ6U1MVXOaj8PK2l7WJ3RER9xtqwdhxkhw/edit?usp=sharing"",""สุพรรณบุรี!I513"")"),0)</f>
        <v>0</v>
      </c>
      <c r="J618" s="189">
        <f ca="1">IFERROR(__xludf.DUMMYFUNCTION("IMPORTRANGE(""https://docs.google.com/spreadsheets/d/1SX6NBoVAgQJ6U1MVXOaj8PK2l7WJ3RER9xtqwdhxkhw/edit?usp=sharing"",""สุพรรณบุรี!J513"")"),0)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IFERROR(__xludf.DUMMYFUNCTION("IMPORTRANGE(""https://docs.google.com/spreadsheets/d/1SX6NBoVAgQJ6U1MVXOaj8PK2l7WJ3RER9xtqwdhxkhw/edit?usp=sharing"",""สุพรรณบุรี!I514"")"),0)</f>
        <v>0</v>
      </c>
      <c r="J619" s="189">
        <f ca="1">IFERROR(__xludf.DUMMYFUNCTION("IMPORTRANGE(""https://docs.google.com/spreadsheets/d/1SX6NBoVAgQJ6U1MVXOaj8PK2l7WJ3RER9xtqwdhxkhw/edit?usp=sharing"",""สุพรรณบุรี!J514"")"),0)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IFERROR(__xludf.DUMMYFUNCTION("IMPORTRANGE(""https://docs.google.com/spreadsheets/d/1SX6NBoVAgQJ6U1MVXOaj8PK2l7WJ3RER9xtqwdhxkhw/edit?usp=sharing"",""สุพรรณบุรี!I515"")"),73)</f>
        <v>73</v>
      </c>
      <c r="J620" s="203">
        <f ca="1">IFERROR(__xludf.DUMMYFUNCTION("IMPORTRANGE(""https://docs.google.com/spreadsheets/d/1SX6NBoVAgQJ6U1MVXOaj8PK2l7WJ3RER9xtqwdhxkhw/edit?usp=sharing"",""สุพรรณบุรี!J515"")"),0)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IFERROR(__xludf.DUMMYFUNCTION("IMPORTRANGE(""https://docs.google.com/spreadsheets/d/1SX6NBoVAgQJ6U1MVXOaj8PK2l7WJ3RER9xtqwdhxkhw/edit?usp=sharing"",""สุพรรณบุรี!I516"")"),0)</f>
        <v>0</v>
      </c>
      <c r="J621" s="203">
        <f ca="1">IFERROR(__xludf.DUMMYFUNCTION("IMPORTRANGE(""https://docs.google.com/spreadsheets/d/1SX6NBoVAgQJ6U1MVXOaj8PK2l7WJ3RER9xtqwdhxkhw/edit?usp=sharing"",""สุพรรณบุรี!J516"")"),0)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IFERROR(__xludf.DUMMYFUNCTION("IMPORTRANGE(""https://docs.google.com/spreadsheets/d/1SX6NBoVAgQJ6U1MVXOaj8PK2l7WJ3RER9xtqwdhxkhw/edit?usp=sharing"",""สุพรรณบุรี!I517"")"),0)</f>
        <v>0</v>
      </c>
      <c r="J622" s="189">
        <f ca="1">IFERROR(__xludf.DUMMYFUNCTION("IMPORTRANGE(""https://docs.google.com/spreadsheets/d/1SX6NBoVAgQJ6U1MVXOaj8PK2l7WJ3RER9xtqwdhxkhw/edit?usp=sharing"",""สุพรรณบุรี!J517"")"),0)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IFERROR(__xludf.DUMMYFUNCTION("IMPORTRANGE(""https://docs.google.com/spreadsheets/d/1SX6NBoVAgQJ6U1MVXOaj8PK2l7WJ3RER9xtqwdhxkhw/edit?usp=sharing"",""สุพรรณบุรี!I518"")"),0)</f>
        <v>0</v>
      </c>
      <c r="J623" s="189">
        <f ca="1">IFERROR(__xludf.DUMMYFUNCTION("IMPORTRANGE(""https://docs.google.com/spreadsheets/d/1SX6NBoVAgQJ6U1MVXOaj8PK2l7WJ3RER9xtqwdhxkhw/edit?usp=sharing"",""สุพรรณบุรี!J518"")"),0)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IFERROR(__xludf.DUMMYFUNCTION("IMPORTRANGE(""https://docs.google.com/spreadsheets/d/1SX6NBoVAgQJ6U1MVXOaj8PK2l7WJ3RER9xtqwdhxkhw/edit?usp=sharing"",""สุพรรณบุรี!I519"")"),0)</f>
        <v>0</v>
      </c>
      <c r="J624" s="188">
        <f ca="1">IFERROR(__xludf.DUMMYFUNCTION("IMPORTRANGE(""https://docs.google.com/spreadsheets/d/1SX6NBoVAgQJ6U1MVXOaj8PK2l7WJ3RER9xtqwdhxkhw/edit?usp=sharing"",""สุพรรณบุรี!J519"")"),0)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IFERROR(__xludf.DUMMYFUNCTION("IMPORTRANGE(""https://docs.google.com/spreadsheets/d/1SX6NBoVAgQJ6U1MVXOaj8PK2l7WJ3RER9xtqwdhxkhw/edit?usp=sharing"",""สุพรรณบุรี!I520"")"),0)</f>
        <v>0</v>
      </c>
      <c r="J625" s="189">
        <f ca="1">IFERROR(__xludf.DUMMYFUNCTION("IMPORTRANGE(""https://docs.google.com/spreadsheets/d/1SX6NBoVAgQJ6U1MVXOaj8PK2l7WJ3RER9xtqwdhxkhw/edit?usp=sharing"",""สุพรรณบุรี!J520"")"),0)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IFERROR(__xludf.DUMMYFUNCTION("IMPORTRANGE(""https://docs.google.com/spreadsheets/d/1SX6NBoVAgQJ6U1MVXOaj8PK2l7WJ3RER9xtqwdhxkhw/edit?usp=sharing"",""สุพรรณบุรี!I521"")"),0)</f>
        <v>0</v>
      </c>
      <c r="J626" s="189">
        <f ca="1">IFERROR(__xludf.DUMMYFUNCTION("IMPORTRANGE(""https://docs.google.com/spreadsheets/d/1SX6NBoVAgQJ6U1MVXOaj8PK2l7WJ3RER9xtqwdhxkhw/edit?usp=sharing"",""สุพรรณบุรี!J521"")"),0)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2">
        <f ca="1">IFERROR(__xludf.DUMMYFUNCTION("IMPORTRANGE(""https://docs.google.com/spreadsheets/d/1SX6NBoVAgQJ6U1MVXOaj8PK2l7WJ3RER9xtqwdhxkhw/edit?usp=sharing"",""สุพรรณบุรี!J523"")"),16675061.59)</f>
        <v>16675061.59</v>
      </c>
      <c r="K628" s="343">
        <f t="shared" ref="K628:K635" ca="1" si="129">IF(I628&gt;0,J628*100/I628,0)</f>
        <v>76.535063948302579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IFERROR(__xludf.DUMMYFUNCTION("IMPORTRANGE(""https://docs.google.com/spreadsheets/d/1SX6NBoVAgQJ6U1MVXOaj8PK2l7WJ3RER9xtqwdhxkhw/edit?usp=sharing"",""สุพรรณบุรี!I524"")"),514)</f>
        <v>514</v>
      </c>
      <c r="J629" s="342">
        <f ca="1">IFERROR(__xludf.DUMMYFUNCTION("IMPORTRANGE(""https://docs.google.com/spreadsheets/d/1SX6NBoVAgQJ6U1MVXOaj8PK2l7WJ3RER9xtqwdhxkhw/edit?usp=sharing"",""สุพรรณบุรี!J524"")"),400)</f>
        <v>400</v>
      </c>
      <c r="K629" s="343">
        <f t="shared" ca="1" si="129"/>
        <v>77.821011673151745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2">
        <f ca="1">IFERROR(__xludf.DUMMYFUNCTION("IMPORTRANGE(""https://docs.google.com/spreadsheets/d/1SX6NBoVAgQJ6U1MVXOaj8PK2l7WJ3RER9xtqwdhxkhw/edit?usp=sharing"",""สุพรรณบุรี!J525"")"),654946.49)</f>
        <v>654946.49</v>
      </c>
      <c r="K630" s="343">
        <f t="shared" ca="1" si="129"/>
        <v>16.921742295693814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IFERROR(__xludf.DUMMYFUNCTION("IMPORTRANGE(""https://docs.google.com/spreadsheets/d/1SX6NBoVAgQJ6U1MVXOaj8PK2l7WJ3RER9xtqwdhxkhw/edit?usp=sharing"",""สุพรรณบุรี!I526"")"),79)</f>
        <v>79</v>
      </c>
      <c r="J631" s="342">
        <f ca="1">IFERROR(__xludf.DUMMYFUNCTION("IMPORTRANGE(""https://docs.google.com/spreadsheets/d/1SX6NBoVAgQJ6U1MVXOaj8PK2l7WJ3RER9xtqwdhxkhw/edit?usp=sharing"",""สุพรรณบุรี!J526"")"),89)</f>
        <v>89</v>
      </c>
      <c r="K631" s="343">
        <f t="shared" ca="1" si="129"/>
        <v>112.65822784810126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2">
        <f ca="1">IFERROR(__xludf.DUMMYFUNCTION("IMPORTRANGE(""https://docs.google.com/spreadsheets/d/1SX6NBoVAgQJ6U1MVXOaj8PK2l7WJ3RER9xtqwdhxkhw/edit?usp=sharing"",""สุพรรณบุรี!J527"")"),991503.75)</f>
        <v>991503.75</v>
      </c>
      <c r="K632" s="343">
        <f t="shared" ca="1" si="129"/>
        <v>42.534858546798169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IFERROR(__xludf.DUMMYFUNCTION("IMPORTRANGE(""https://docs.google.com/spreadsheets/d/1SX6NBoVAgQJ6U1MVXOaj8PK2l7WJ3RER9xtqwdhxkhw/edit?usp=sharing"",""สุพรรณบุรี!I528"")"),528)</f>
        <v>528</v>
      </c>
      <c r="J633" s="342">
        <f ca="1">IFERROR(__xludf.DUMMYFUNCTION("IMPORTRANGE(""https://docs.google.com/spreadsheets/d/1SX6NBoVAgQJ6U1MVXOaj8PK2l7WJ3RER9xtqwdhxkhw/edit?usp=sharing"",""สุพรรณบุรี!J528"")"),265)</f>
        <v>265</v>
      </c>
      <c r="K633" s="343">
        <f t="shared" ca="1" si="129"/>
        <v>50.189393939393938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2">
        <f ca="1">IFERROR(__xludf.DUMMYFUNCTION("IMPORTRANGE(""https://docs.google.com/spreadsheets/d/1SX6NBoVAgQJ6U1MVXOaj8PK2l7WJ3RER9xtqwdhxkhw/edit?usp=sharing"",""สุพรรณบุรี!J529"")"),16270000)</f>
        <v>16270000</v>
      </c>
      <c r="K634" s="343">
        <f t="shared" ca="1" si="129"/>
        <v>70.924149956408016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IFERROR(__xludf.DUMMYFUNCTION("IMPORTRANGE(""https://docs.google.com/spreadsheets/d/1SX6NBoVAgQJ6U1MVXOaj8PK2l7WJ3RER9xtqwdhxkhw/edit?usp=sharing"",""สุพรรณบุรี!I530"")"),568)</f>
        <v>568</v>
      </c>
      <c r="J635" s="505">
        <f ca="1">IFERROR(__xludf.DUMMYFUNCTION("IMPORTRANGE(""https://docs.google.com/spreadsheets/d/1SX6NBoVAgQJ6U1MVXOaj8PK2l7WJ3RER9xtqwdhxkhw/edit?usp=sharing"",""สุพรรณบุรี!J530"")"),370)</f>
        <v>370</v>
      </c>
      <c r="K635" s="487">
        <f t="shared" ca="1" si="129"/>
        <v>65.140845070422529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48130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48130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48130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IFERROR(__xludf.DUMMYFUNCTION("IMPORTRANGE(""https://docs.google.com/spreadsheets/d/1SX6NBoVAgQJ6U1MVXOaj8PK2l7WJ3RER9xtqwdhxkhw/edit#gid=346597447"",""สุพรรณบุรี!J541"")"),0)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IFERROR(__xludf.DUMMYFUNCTION("IMPORTRANGE(""https://docs.google.com/spreadsheets/d/1SX6NBoVAgQJ6U1MVXOaj8PK2l7WJ3RER9xtqwdhxkhw/edit#gid=346597447"",""สุพรรณบุรี!J542"")"),0)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IFERROR(__xludf.DUMMYFUNCTION("IMPORTRANGE(""https://docs.google.com/spreadsheets/d/1SX6NBoVAgQJ6U1MVXOaj8PK2l7WJ3RER9xtqwdhxkhw/edit#gid=346597447"",""สุพรรณบุรี!I543"")"),0)</f>
        <v>0</v>
      </c>
      <c r="J648" s="537">
        <f ca="1">IFERROR(__xludf.DUMMYFUNCTION("IMPORTRANGE(""https://docs.google.com/spreadsheets/d/1SX6NBoVAgQJ6U1MVXOaj8PK2l7WJ3RER9xtqwdhxkhw/edit#gid=346597447"",""สุพรรณบุรี!J543"")"),0)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IFERROR(__xludf.DUMMYFUNCTION("IMPORTRANGE(""https://docs.google.com/spreadsheets/d/1SX6NBoVAgQJ6U1MVXOaj8PK2l7WJ3RER9xtqwdhxkhw/edit#gid=346597447"",""สุพรรณบุรี!L543"")"),0)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IFERROR(__xludf.DUMMYFUNCTION("IMPORTRANGE(""https://docs.google.com/spreadsheets/d/1SX6NBoVAgQJ6U1MVXOaj8PK2l7WJ3RER9xtqwdhxkhw/edit#gid=346597447"",""สุพรรณบุรี!M543"")"),0)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IFERROR(__xludf.DUMMYFUNCTION("IMPORTRANGE(""https://docs.google.com/spreadsheets/d/1SX6NBoVAgQJ6U1MVXOaj8PK2l7WJ3RER9xtqwdhxkhw/edit#gid=346597447"",""สุพรรณบุรี!I544"")"),0)</f>
        <v>0</v>
      </c>
      <c r="J649" s="537">
        <f ca="1">IFERROR(__xludf.DUMMYFUNCTION("IMPORTRANGE(""https://docs.google.com/spreadsheets/d/1SX6NBoVAgQJ6U1MVXOaj8PK2l7WJ3RER9xtqwdhxkhw/edit#gid=346597447"",""สุพรรณบุรี!J544"")"),0)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IFERROR(__xludf.DUMMYFUNCTION("IMPORTRANGE(""https://docs.google.com/spreadsheets/d/1SX6NBoVAgQJ6U1MVXOaj8PK2l7WJ3RER9xtqwdhxkhw/edit#gid=346597447"",""สุพรรณบุรี!L544"")"),0)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IFERROR(__xludf.DUMMYFUNCTION("IMPORTRANGE(""https://docs.google.com/spreadsheets/d/1SX6NBoVAgQJ6U1MVXOaj8PK2l7WJ3RER9xtqwdhxkhw/edit#gid=346597447"",""สุพรรณบุรี!M544"")"),0)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IFERROR(__xludf.DUMMYFUNCTION("IMPORTRANGE(""https://docs.google.com/spreadsheets/d/1SX6NBoVAgQJ6U1MVXOaj8PK2l7WJ3RER9xtqwdhxkhw/edit#gid=346597447"",""สุพรรณบุรี!I545"")"),30)</f>
        <v>30</v>
      </c>
      <c r="J650" s="537">
        <f ca="1">IFERROR(__xludf.DUMMYFUNCTION("IMPORTRANGE(""https://docs.google.com/spreadsheets/d/1SX6NBoVAgQJ6U1MVXOaj8PK2l7WJ3RER9xtqwdhxkhw/edit#gid=346597447"",""สุพรรณบุรี!J545"")"),0)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IFERROR(__xludf.DUMMYFUNCTION("IMPORTRANGE(""https://docs.google.com/spreadsheets/d/1SX6NBoVAgQJ6U1MVXOaj8PK2l7WJ3RER9xtqwdhxkhw/edit#gid=346597447"",""สุพรรณบุรี!L545"")"),150)</f>
        <v>150</v>
      </c>
      <c r="M650" s="522"/>
      <c r="N650" s="539">
        <f ca="1">IFERROR(__xludf.DUMMYFUNCTION("IMPORTRANGE(""https://docs.google.com/spreadsheets/d/1SX6NBoVAgQJ6U1MVXOaj8PK2l7WJ3RER9xtqwdhxkhw/edit#gid=346597447"",""สุพรรณบุรี!M545"")"),0)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IFERROR(__xludf.DUMMYFUNCTION("IMPORTRANGE(""https://docs.google.com/spreadsheets/d/1SX6NBoVAgQJ6U1MVXOaj8PK2l7WJ3RER9xtqwdhxkhw/edit#gid=346597447"",""สุพรรณบุรี!I546"")"),300)</f>
        <v>300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IFERROR(__xludf.DUMMYFUNCTION("IMPORTRANGE(""https://docs.google.com/spreadsheets/d/1SX6NBoVAgQJ6U1MVXOaj8PK2l7WJ3RER9xtqwdhxkhw/edit#gid=346597447"",""สุพรรณบุรี!L546"")"),7500)</f>
        <v>7500</v>
      </c>
      <c r="M651" s="522"/>
      <c r="N651" s="539">
        <f ca="1">IFERROR(__xludf.DUMMYFUNCTION("IMPORTRANGE(""https://docs.google.com/spreadsheets/d/1SX6NBoVAgQJ6U1MVXOaj8PK2l7WJ3RER9xtqwdhxkhw/edit#gid=346597447"",""สุพรรณบุรี!M546"")"),0)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IFERROR(__xludf.DUMMYFUNCTION("IMPORTRANGE(""https://docs.google.com/spreadsheets/d/1SX6NBoVAgQJ6U1MVXOaj8PK2l7WJ3RER9xtqwdhxkhw/edit#gid=346597447"",""สุพรรณบุรี!J547"")"),0)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IFERROR(__xludf.DUMMYFUNCTION("IMPORTRANGE(""https://docs.google.com/spreadsheets/d/1SX6NBoVAgQJ6U1MVXOaj8PK2l7WJ3RER9xtqwdhxkhw/edit#gid=346597447"",""สุพรรณบุรี!J548"")"),0)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IFERROR(__xludf.DUMMYFUNCTION("IMPORTRANGE(""https://docs.google.com/spreadsheets/d/1SX6NBoVAgQJ6U1MVXOaj8PK2l7WJ3RER9xtqwdhxkhw/edit#gid=346597447"",""สุพรรณบุรี!J550"")"),0)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IFERROR(__xludf.DUMMYFUNCTION("IMPORTRANGE(""https://docs.google.com/spreadsheets/d/1SX6NBoVAgQJ6U1MVXOaj8PK2l7WJ3RER9xtqwdhxkhw/edit#gid=346597447"",""สุพรรณบุรี!J551"")"),0)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IFERROR(__xludf.DUMMYFUNCTION("IMPORTRANGE(""https://docs.google.com/spreadsheets/d/1SX6NBoVAgQJ6U1MVXOaj8PK2l7WJ3RER9xtqwdhxkhw/edit#gid=346597447"",""สุพรรณบุรี!J552"")"),0)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IFERROR(__xludf.DUMMYFUNCTION("IMPORTRANGE(""https://docs.google.com/spreadsheets/d/1SX6NBoVAgQJ6U1MVXOaj8PK2l7WJ3RER9xtqwdhxkhw/edit#gid=346597447"",""สุพรรณบุรี!J553"")"),0)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IFERROR(__xludf.DUMMYFUNCTION("IMPORTRANGE(""https://docs.google.com/spreadsheets/d/1SX6NBoVAgQJ6U1MVXOaj8PK2l7WJ3RER9xtqwdhxkhw/edit#gid=346597447"",""สุพรรณบุรี!J554"")"),0)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IFERROR(__xludf.DUMMYFUNCTION("IMPORTRANGE(""https://docs.google.com/spreadsheets/d/1SX6NBoVAgQJ6U1MVXOaj8PK2l7WJ3RER9xtqwdhxkhw/edit#gid=346597447"",""สุพรรณบุรี!J555"")"),0)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IFERROR(__xludf.DUMMYFUNCTION("IMPORTRANGE(""https://docs.google.com/spreadsheets/d/1SX6NBoVAgQJ6U1MVXOaj8PK2l7WJ3RER9xtqwdhxkhw/edit#gid=346597447"",""สุพรรณบุรี!J556"")"),0)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2"/>
      <c r="N661" s="539">
        <f ca="1">IFERROR(__xludf.DUMMYFUNCTION("IMPORTRANGE(""https://docs.google.com/spreadsheets/d/1SX6NBoVAgQJ6U1MVXOaj8PK2l7WJ3RER9xtqwdhxkhw/edit#gid=346597447"",""สุพรรณบุรี!M556"")"),0)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IFERROR(__xludf.DUMMYFUNCTION("IMPORTRANGE(""https://docs.google.com/spreadsheets/d/1SX6NBoVAgQJ6U1MVXOaj8PK2l7WJ3RER9xtqwdhxkhw/edit#gid=346597447"",""สุพรรณบุรี!J557"")"),0)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IFERROR(__xludf.DUMMYFUNCTION("IMPORTRANGE(""https://docs.google.com/spreadsheets/d/1SX6NBoVAgQJ6U1MVXOaj8PK2l7WJ3RER9xtqwdhxkhw/edit#gid=346597447"",""สุพรรณบุรี!I558"")"),300)</f>
        <v>300</v>
      </c>
      <c r="J663" s="537">
        <f ca="1">IFERROR(__xludf.DUMMYFUNCTION("IMPORTRANGE(""https://docs.google.com/spreadsheets/d/1SX6NBoVAgQJ6U1MVXOaj8PK2l7WJ3RER9xtqwdhxkhw/edit#gid=346597447"",""สุพรรณบุรี!J558"")"),0)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IFERROR(__xludf.DUMMYFUNCTION("IMPORTRANGE(""https://docs.google.com/spreadsheets/d/1SX6NBoVAgQJ6U1MVXOaj8PK2l7WJ3RER9xtqwdhxkhw/edit#gid=346597447"",""สุพรรณบุรี!I560"")"),16)</f>
        <v>16</v>
      </c>
      <c r="J665" s="537">
        <f ca="1">IFERROR(__xludf.DUMMYFUNCTION("IMPORTRANGE(""https://docs.google.com/spreadsheets/d/1SX6NBoVAgQJ6U1MVXOaj8PK2l7WJ3RER9xtqwdhxkhw/edit#gid=346597447"",""สุพรรณบุรี!J560"")"),7)</f>
        <v>7</v>
      </c>
      <c r="K665" s="538">
        <f ca="1">IF(I665&gt;0,J665*100/I665,0)</f>
        <v>43.75</v>
      </c>
      <c r="L665" s="523">
        <f ca="1">IFERROR(__xludf.DUMMYFUNCTION("IMPORTRANGE(""https://docs.google.com/spreadsheets/d/1SX6NBoVAgQJ6U1MVXOaj8PK2l7WJ3RER9xtqwdhxkhw/edit#gid=346597447"",""สุพรรณบุรี!L560"")"),1920)</f>
        <v>1920</v>
      </c>
      <c r="M665" s="522"/>
      <c r="N665" s="539">
        <f ca="1">IFERROR(__xludf.DUMMYFUNCTION("IMPORTRANGE(""https://docs.google.com/spreadsheets/d/1SX6NBoVAgQJ6U1MVXOaj8PK2l7WJ3RER9xtqwdhxkhw/edit#gid=346597447"",""สุพรรณบุรี!M560"")"),0)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IFERROR(__xludf.DUMMYFUNCTION("IMPORTRANGE(""https://docs.google.com/spreadsheets/d/1SX6NBoVAgQJ6U1MVXOaj8PK2l7WJ3RER9xtqwdhxkhw/edit#gid=346597447"",""สุพรรณบุรี!J561"")"),7)</f>
        <v>7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IFERROR(__xludf.DUMMYFUNCTION("IMPORTRANGE(""https://docs.google.com/spreadsheets/d/1SX6NBoVAgQJ6U1MVXOaj8PK2l7WJ3RER9xtqwdhxkhw/edit#gid=346597447"",""สุพรรณบุรี!J562"")"),81.31)</f>
        <v>81.31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IFERROR(__xludf.DUMMYFUNCTION("IMPORTRANGE(""https://docs.google.com/spreadsheets/d/1SX6NBoVAgQJ6U1MVXOaj8PK2l7WJ3RER9xtqwdhxkhw/edit#gid=346597447"",""สุพรรณบุรี!I563"")"),28)</f>
        <v>28</v>
      </c>
      <c r="J668" s="537">
        <f ca="1">IFERROR(__xludf.DUMMYFUNCTION("IMPORTRANGE(""https://docs.google.com/spreadsheets/d/1SX6NBoVAgQJ6U1MVXOaj8PK2l7WJ3RER9xtqwdhxkhw/edit#gid=346597447"",""สุพรรณบุรี!J563"")"),2)</f>
        <v>2</v>
      </c>
      <c r="K668" s="538">
        <f ca="1">IF(I668&gt;0,J668*100/I668,0)</f>
        <v>7.1428571428571432</v>
      </c>
      <c r="L668" s="523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2"/>
      <c r="N668" s="539">
        <f ca="1">IFERROR(__xludf.DUMMYFUNCTION("IMPORTRANGE(""https://docs.google.com/spreadsheets/d/1SX6NBoVAgQJ6U1MVXOaj8PK2l7WJ3RER9xtqwdhxkhw/edit#gid=346597447"",""สุพรรณบุรี!M563"")"),0)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IFERROR(__xludf.DUMMYFUNCTION("IMPORTRANGE(""https://docs.google.com/spreadsheets/d/1SX6NBoVAgQJ6U1MVXOaj8PK2l7WJ3RER9xtqwdhxkhw/edit#gid=346597447"",""สุพรรณบุรี!J564"")"),2)</f>
        <v>2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IFERROR(__xludf.DUMMYFUNCTION("IMPORTRANGE(""https://docs.google.com/spreadsheets/d/1SX6NBoVAgQJ6U1MVXOaj8PK2l7WJ3RER9xtqwdhxkhw/edit#gid=346597447"",""สุพรรณบุรี!I566"")"),50)</f>
        <v>50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IFERROR(__xludf.DUMMYFUNCTION("IMPORTRANGE(""https://docs.google.com/spreadsheets/d/1SX6NBoVAgQJ6U1MVXOaj8PK2l7WJ3RER9xtqwdhxkhw/edit#gid=346597447"",""สุพรรณบุรี!L566"")"),4000)</f>
        <v>4000</v>
      </c>
      <c r="M671" s="522"/>
      <c r="N671" s="539">
        <f ca="1">IFERROR(__xludf.DUMMYFUNCTION("IMPORTRANGE(""https://docs.google.com/spreadsheets/d/1SX6NBoVAgQJ6U1MVXOaj8PK2l7WJ3RER9xtqwdhxkhw/edit#gid=346597447"",""สุพรรณบุรี!M566"")"),0)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IFERROR(__xludf.DUMMYFUNCTION("IMPORTRANGE(""https://docs.google.com/spreadsheets/d/1SX6NBoVAgQJ6U1MVXOaj8PK2l7WJ3RER9xtqwdhxkhw/edit#gid=346597447"",""สุพรรณบุรี!J567"")"),0)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IFERROR(__xludf.DUMMYFUNCTION("IMPORTRANGE(""https://docs.google.com/spreadsheets/d/1SX6NBoVAgQJ6U1MVXOaj8PK2l7WJ3RER9xtqwdhxkhw/edit#gid=346597447"",""สุพรรณบุรี!J568"")"),0)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IFERROR(__xludf.DUMMYFUNCTION("IMPORTRANGE(""https://docs.google.com/spreadsheets/d/1SX6NBoVAgQJ6U1MVXOaj8PK2l7WJ3RER9xtqwdhxkhw/edit#gid=346597447"",""สุพรรณบุรี!J569"")"),0)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IFERROR(__xludf.DUMMYFUNCTION("IMPORTRANGE(""https://docs.google.com/spreadsheets/d/1SX6NBoVAgQJ6U1MVXOaj8PK2l7WJ3RER9xtqwdhxkhw/edit#gid=346597447"",""สุพรรณบุรี!J570"")"),0)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IFERROR(__xludf.DUMMYFUNCTION("IMPORTRANGE(""https://docs.google.com/spreadsheets/d/1SX6NBoVAgQJ6U1MVXOaj8PK2l7WJ3RER9xtqwdhxkhw/edit#gid=346597447"",""สุพรรณบุรี!J571"")"),0)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IFERROR(__xludf.DUMMYFUNCTION("IMPORTRANGE(""https://docs.google.com/spreadsheets/d/1SX6NBoVAgQJ6U1MVXOaj8PK2l7WJ3RER9xtqwdhxkhw/edit#gid=346597447"",""สุพรรณบุรี!J572"")"),0)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300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2003350</v>
      </c>
      <c r="M8" s="23">
        <f t="shared" ca="1" si="0"/>
        <v>1722613</v>
      </c>
      <c r="N8" s="23">
        <f t="shared" ca="1" si="0"/>
        <v>1677355.9300000002</v>
      </c>
      <c r="O8" s="22">
        <f t="shared" ref="O8:O16" ca="1" si="1">IF(L8&gt;0,N8*100/L8,0)</f>
        <v>83.727552848977979</v>
      </c>
      <c r="P8" s="22">
        <f t="shared" ref="P8:P16" ca="1" si="2">IF(M8&gt;0,N8*100/M8,0)</f>
        <v>97.372766256843548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2003350</v>
      </c>
      <c r="M10" s="30">
        <f t="shared" ca="1" si="4"/>
        <v>1722613</v>
      </c>
      <c r="N10" s="30">
        <f t="shared" ca="1" si="4"/>
        <v>1677355.9300000002</v>
      </c>
      <c r="O10" s="29">
        <f t="shared" ca="1" si="1"/>
        <v>83.727552848977979</v>
      </c>
      <c r="P10" s="29">
        <f t="shared" ca="1" si="2"/>
        <v>97.372766256843548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1856350</v>
      </c>
      <c r="M12" s="38">
        <f t="shared" ca="1" si="6"/>
        <v>1575613</v>
      </c>
      <c r="N12" s="38">
        <f t="shared" ca="1" si="6"/>
        <v>1538355.9300000002</v>
      </c>
      <c r="O12" s="38">
        <f t="shared" ca="1" si="1"/>
        <v>82.869929162065361</v>
      </c>
      <c r="P12" s="38">
        <f t="shared" ca="1" si="2"/>
        <v>97.63539206645288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1449900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406450</v>
      </c>
      <c r="M14" s="38">
        <f t="shared" si="8"/>
        <v>0</v>
      </c>
      <c r="N14" s="38">
        <f t="shared" ca="1" si="8"/>
        <v>134062</v>
      </c>
      <c r="O14" s="38">
        <f t="shared" ca="1" si="1"/>
        <v>32.983638823963588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139000</v>
      </c>
      <c r="O16" s="49">
        <f t="shared" ca="1" si="1"/>
        <v>94.557823129251702</v>
      </c>
      <c r="P16" s="49">
        <f t="shared" ca="1" si="2"/>
        <v>94.557823129251702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1673410</v>
      </c>
      <c r="M18" s="23">
        <f t="shared" ca="1" si="11"/>
        <v>1722613</v>
      </c>
      <c r="N18" s="23">
        <f t="shared" ca="1" si="11"/>
        <v>1543293.9300000002</v>
      </c>
      <c r="O18" s="22">
        <f t="shared" ref="O18:O20" ca="1" si="12">IF(L18&gt;0,N18*100/L18,0)</f>
        <v>92.22449549124245</v>
      </c>
      <c r="P18" s="22">
        <f t="shared" ref="P18:P26" ca="1" si="13">IF(M18&gt;0,N18*100/M18,0)</f>
        <v>89.590286965209273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1673410</v>
      </c>
      <c r="M20" s="30">
        <f t="shared" ca="1" si="15"/>
        <v>1722613</v>
      </c>
      <c r="N20" s="30">
        <f t="shared" ca="1" si="15"/>
        <v>1543293.9300000002</v>
      </c>
      <c r="O20" s="29">
        <f t="shared" ca="1" si="12"/>
        <v>92.22449549124245</v>
      </c>
      <c r="P20" s="29">
        <f t="shared" ca="1" si="13"/>
        <v>89.590286965209273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1526410</v>
      </c>
      <c r="M22" s="41">
        <f t="shared" ca="1" si="18"/>
        <v>1575613</v>
      </c>
      <c r="N22" s="38">
        <f t="shared" ca="1" si="18"/>
        <v>1404293.9300000002</v>
      </c>
      <c r="O22" s="38">
        <f t="shared" ca="1" si="17"/>
        <v>91.999785771843761</v>
      </c>
      <c r="P22" s="38">
        <f t="shared" ca="1" si="13"/>
        <v>89.126830636710935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1449900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76510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139000</v>
      </c>
      <c r="O26" s="49">
        <f t="shared" ca="1" si="17"/>
        <v>94.557823129251702</v>
      </c>
      <c r="P26" s="49">
        <f t="shared" ca="1" si="13"/>
        <v>94.557823129251702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329940</v>
      </c>
      <c r="M28" s="23">
        <f t="shared" si="23"/>
        <v>0</v>
      </c>
      <c r="N28" s="23">
        <f t="shared" ca="1" si="23"/>
        <v>134062</v>
      </c>
      <c r="O28" s="22">
        <f t="shared" ref="O28:O30" ca="1" si="24">IF(L28&gt;0,N28*100/L28,0)</f>
        <v>40.63223616415106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329940</v>
      </c>
      <c r="M30" s="30">
        <f t="shared" si="27"/>
        <v>0</v>
      </c>
      <c r="N30" s="30">
        <f t="shared" ca="1" si="27"/>
        <v>134062</v>
      </c>
      <c r="O30" s="29">
        <f t="shared" ca="1" si="24"/>
        <v>40.63223616415106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329940</v>
      </c>
      <c r="M32" s="38">
        <f t="shared" si="30"/>
        <v>0</v>
      </c>
      <c r="N32" s="38">
        <f t="shared" ca="1" si="30"/>
        <v>134062</v>
      </c>
      <c r="O32" s="38">
        <f t="shared" ca="1" si="29"/>
        <v>40.63223616415106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329940</v>
      </c>
      <c r="M34" s="38">
        <f t="shared" si="32"/>
        <v>0</v>
      </c>
      <c r="N34" s="38">
        <f t="shared" ca="1" si="32"/>
        <v>134062</v>
      </c>
      <c r="O34" s="38">
        <f t="shared" ca="1" si="29"/>
        <v>40.63223616415106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1673410</v>
      </c>
      <c r="M37" s="54">
        <f t="shared" ca="1" si="33"/>
        <v>1722613</v>
      </c>
      <c r="N37" s="54">
        <f t="shared" ca="1" si="33"/>
        <v>1543293.9300000002</v>
      </c>
      <c r="O37" s="55">
        <f t="shared" ca="1" si="29"/>
        <v>92.22449549124245</v>
      </c>
      <c r="P37" s="55">
        <f t="shared" ca="1" si="25"/>
        <v>89.590286965209273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836100</v>
      </c>
      <c r="N41" s="78">
        <f t="shared" ca="1" si="34"/>
        <v>777572.93</v>
      </c>
      <c r="O41" s="77">
        <f t="shared" ref="O41:O43" ca="1" si="35">IF(L41&gt;0,N41*100/L41,0)</f>
        <v>92.999991627795723</v>
      </c>
      <c r="P41" s="77">
        <f t="shared" ref="P41:P43" ca="1" si="36">IF(M41&gt;0,N41*100/M41,0)</f>
        <v>92.999991627795723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836100</v>
      </c>
      <c r="N43" s="78">
        <f t="shared" ca="1" si="38"/>
        <v>777572.93</v>
      </c>
      <c r="O43" s="77">
        <f t="shared" ca="1" si="35"/>
        <v>92.999991627795723</v>
      </c>
      <c r="P43" s="77">
        <f t="shared" ca="1" si="36"/>
        <v>92.999991627795723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836100</v>
      </c>
      <c r="M45" s="49">
        <f ca="1">IFERROR(__xludf.DUMMYFUNCTION("IMPORTRANGE(""https://docs.google.com/spreadsheets/d/1Yj_ptqi66GCucihVvJfMjLAmec39IyEx_6qawtMGysU/edit?usp=sharing"",""สบก!Q79"")"),836100)</f>
        <v>836100</v>
      </c>
      <c r="N45" s="49">
        <f ca="1">IFERROR(__xludf.DUMMYFUNCTION("IMPORTRANGE(""https://docs.google.com/spreadsheets/d/1Yj_ptqi66GCucihVvJfMjLAmec39IyEx_6qawtMGysU/edit?usp=sharing"",""สบก!R79"")"),777572.93)</f>
        <v>777572.93</v>
      </c>
      <c r="O45" s="38">
        <f ca="1">IF(L45&gt;0,N45*100/L45,0)</f>
        <v>92.999991627795723</v>
      </c>
      <c r="P45" s="38">
        <f ca="1">IF(M45&gt;0,N45*100/M45,0)</f>
        <v>92.999991627795723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IFERROR(__xludf.DUMMYFUNCTION("IMPORTRANGE(""https://docs.google.com/spreadsheets/d/1Yj_ptqi66GCucihVvJfMjLAmec39IyEx_6qawtMGysU/edit?usp=sharing"",""สบก!M79"")"),836100)</f>
        <v>836100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IFERROR(__xludf.DUMMYFUNCTION("IMPORTRANGE(""https://docs.google.com/spreadsheets/d/1Yj_ptqi66GCucihVvJfMjLAmec39IyEx_6qawtMGysU/edit?usp=sharing"",""สบก!N79"")"),0)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IFERROR(__xludf.DUMMYFUNCTION("IMPORTRANGE(""https://docs.google.com/spreadsheets/d/1Yj_ptqi66GCucihVvJfMjLAmec39IyEx_6qawtMGysU/edit?usp=sharing"",""สบก!O79"")"),0)</f>
        <v>0</v>
      </c>
      <c r="M49" s="49"/>
      <c r="N49" s="49">
        <f ca="1">IFERROR(__xludf.DUMMYFUNCTION("IMPORTRANGE(""https://docs.google.com/spreadsheets/d/1Yj_ptqi66GCucihVvJfMjLAmec39IyEx_6qawtMGysU/edit?usp=sharing"",""สบก!S79"")"),0)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120000</v>
      </c>
      <c r="M53" s="121">
        <f t="shared" ca="1" si="39"/>
        <v>134203</v>
      </c>
      <c r="N53" s="121">
        <f t="shared" ca="1" si="39"/>
        <v>130364</v>
      </c>
      <c r="O53" s="120">
        <f t="shared" ref="O53:O55" ca="1" si="40">IF(L53&gt;0,N53*100/L53,0)</f>
        <v>108.63666666666667</v>
      </c>
      <c r="P53" s="120">
        <f t="shared" ref="P53:P55" ca="1" si="41">IF(M53&gt;0,N53*100/M53,0)</f>
        <v>97.139408209950602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120000</v>
      </c>
      <c r="M55" s="121">
        <f t="shared" ca="1" si="43"/>
        <v>134203</v>
      </c>
      <c r="N55" s="121">
        <f t="shared" ca="1" si="43"/>
        <v>130364</v>
      </c>
      <c r="O55" s="120">
        <f t="shared" ca="1" si="40"/>
        <v>108.63666666666667</v>
      </c>
      <c r="P55" s="120">
        <f t="shared" ca="1" si="41"/>
        <v>97.139408209950602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120000</v>
      </c>
      <c r="M57" s="49">
        <f ca="1">IFERROR(__xludf.DUMMYFUNCTION("IMPORTRANGE(""https://docs.google.com/spreadsheets/d/1Yj_ptqi66GCucihVvJfMjLAmec39IyEx_6qawtMGysU/edit?usp=sharing"",""สบก!Z79"")"),134203)</f>
        <v>134203</v>
      </c>
      <c r="N57" s="49">
        <f ca="1">IFERROR(__xludf.DUMMYFUNCTION("IMPORTRANGE(""https://docs.google.com/spreadsheets/d/1Yj_ptqi66GCucihVvJfMjLAmec39IyEx_6qawtMGysU/edit?usp=sharing"",""สบก!AA79"")"),130364)</f>
        <v>130364</v>
      </c>
      <c r="O57" s="38">
        <f ca="1">IF(L57&gt;0,N57*100/L57,0)</f>
        <v>108.63666666666667</v>
      </c>
      <c r="P57" s="38">
        <f ca="1">IF(M57&gt;0,N57*100/M57,0)</f>
        <v>97.139408209950602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IFERROR(__xludf.DUMMYFUNCTION("IMPORTRANGE(""https://docs.google.com/spreadsheets/d/1Yj_ptqi66GCucihVvJfMjLAmec39IyEx_6qawtMGysU/edit?usp=sharing"",""สบก!V79"")"),120000)</f>
        <v>120000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IFERROR(__xludf.DUMMYFUNCTION("IMPORTRANGE(""https://docs.google.com/spreadsheets/d/1Yj_ptqi66GCucihVvJfMjLAmec39IyEx_6qawtMGysU/edit?usp=sharing"",""สบก!W79"")"),0)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IFERROR(__xludf.DUMMYFUNCTION("IMPORTRANGE(""https://docs.google.com/spreadsheets/d/1Yj_ptqi66GCucihVvJfMjLAmec39IyEx_6qawtMGysU/edit?usp=sharing"",""สบก!X79"")"),0)</f>
        <v>0</v>
      </c>
      <c r="M61" s="49"/>
      <c r="N61" s="49">
        <f ca="1">IFERROR(__xludf.DUMMYFUNCTION("IMPORTRANGE(""https://docs.google.com/spreadsheets/d/1Yj_ptqi66GCucihVvJfMjLAmec39IyEx_6qawtMGysU/edit?usp=sharing"",""สบก!AB79"")"),0)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IFERROR(__xludf.DUMMYFUNCTION("IMPORTRANGE(""https://docs.google.com/spreadsheets/d/1SX6NBoVAgQJ6U1MVXOaj8PK2l7WJ3RER9xtqwdhxkhw/edit?usp=sharing"",""อ่างทอง!I9"")"),0)</f>
        <v>0</v>
      </c>
      <c r="J64" s="142">
        <f ca="1">IFERROR(__xludf.DUMMYFUNCTION("IMPORTRANGE(""https://docs.google.com/spreadsheets/d/1SX6NBoVAgQJ6U1MVXOaj8PK2l7WJ3RER9xtqwdhxkhw/edit?usp=sharing"",""อ่างทอง!J9"")"),0)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IFERROR(__xludf.DUMMYFUNCTION("IMPORTRANGE(""https://docs.google.com/spreadsheets/d/1SX6NBoVAgQJ6U1MVXOaj8PK2l7WJ3RER9xtqwdhxkhw/edit?usp=sharing"",""อ่างทอง!I10"")"),0)</f>
        <v>0</v>
      </c>
      <c r="J65" s="142">
        <f ca="1">IFERROR(__xludf.DUMMYFUNCTION("IMPORTRANGE(""https://docs.google.com/spreadsheets/d/1SX6NBoVAgQJ6U1MVXOaj8PK2l7WJ3RER9xtqwdhxkhw/edit?usp=sharing"",""อ่างทอง!J10"")"),0)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IFERROR(__xludf.DUMMYFUNCTION("IMPORTRANGE(""https://docs.google.com/spreadsheets/d/1Yj_ptqi66GCucihVvJfMjLAmec39IyEx_6qawtMGysU/edit?usp=sharing"",""สบก!AI79"")"),0)</f>
        <v>0</v>
      </c>
      <c r="N70" s="169">
        <f ca="1">IFERROR(__xludf.DUMMYFUNCTION("IMPORTRANGE(""https://docs.google.com/spreadsheets/d/1Yj_ptqi66GCucihVvJfMjLAmec39IyEx_6qawtMGysU/edit?usp=sharing"",""สบก!AJ79"")"),0)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IFERROR(__xludf.DUMMYFUNCTION("IMPORTRANGE(""https://docs.google.com/spreadsheets/d/1Yj_ptqi66GCucihVvJfMjLAmec39IyEx_6qawtMGysU/edit?usp=sharing"",""สบก!AE79"")"),0)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IFERROR(__xludf.DUMMYFUNCTION("IMPORTRANGE(""https://docs.google.com/spreadsheets/d/1Yj_ptqi66GCucihVvJfMjLAmec39IyEx_6qawtMGysU/edit?usp=sharing"",""สบก!AF79"")"),0)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IFERROR(__xludf.DUMMYFUNCTION("IMPORTRANGE(""https://docs.google.com/spreadsheets/d/1Yj_ptqi66GCucihVvJfMjLAmec39IyEx_6qawtMGysU/edit?usp=sharing"",""สบก!AG79"")"),0)</f>
        <v>0</v>
      </c>
      <c r="M74" s="49"/>
      <c r="N74" s="49">
        <f ca="1">IFERROR(__xludf.DUMMYFUNCTION("IMPORTRANGE(""https://docs.google.com/spreadsheets/d/1Yj_ptqi66GCucihVvJfMjLAmec39IyEx_6qawtMGysU/edit?usp=sharing"",""สบก!AK79"")"),0)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IFERROR(__xludf.DUMMYFUNCTION("IMPORTRANGE(""https://docs.google.com/spreadsheets/d/1SX6NBoVAgQJ6U1MVXOaj8PK2l7WJ3RER9xtqwdhxkhw/edit?usp=sharing"",""อ่างทอง!J16"")"),0)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IFERROR(__xludf.DUMMYFUNCTION("IMPORTRANGE(""https://docs.google.com/spreadsheets/d/1SX6NBoVAgQJ6U1MVXOaj8PK2l7WJ3RER9xtqwdhxkhw/edit?usp=sharing"",""อ่างทอง!J17"")"),0)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IFERROR(__xludf.DUMMYFUNCTION("IMPORTRANGE(""https://docs.google.com/spreadsheets/d/1SX6NBoVAgQJ6U1MVXOaj8PK2l7WJ3RER9xtqwdhxkhw/edit?usp=sharing"",""อ่างทอง!J18"")"),0)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IFERROR(__xludf.DUMMYFUNCTION("IMPORTRANGE(""https://docs.google.com/spreadsheets/d/1SX6NBoVAgQJ6U1MVXOaj8PK2l7WJ3RER9xtqwdhxkhw/edit?usp=sharing"",""อ่างทอง!J19"")"),0)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IFERROR(__xludf.DUMMYFUNCTION("IMPORTRANGE(""https://docs.google.com/spreadsheets/d/1SX6NBoVAgQJ6U1MVXOaj8PK2l7WJ3RER9xtqwdhxkhw/edit?usp=sharing"",""อ่างทอง!I20"")"),0)</f>
        <v>0</v>
      </c>
      <c r="J80" s="201">
        <f ca="1">IFERROR(__xludf.DUMMYFUNCTION("IMPORTRANGE(""https://docs.google.com/spreadsheets/d/1SX6NBoVAgQJ6U1MVXOaj8PK2l7WJ3RER9xtqwdhxkhw/edit?usp=sharing"",""อ่างทอง!J20"")"),0)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IFERROR(__xludf.DUMMYFUNCTION("IMPORTRANGE(""https://docs.google.com/spreadsheets/d/1SX6NBoVAgQJ6U1MVXOaj8PK2l7WJ3RER9xtqwdhxkhw/edit?usp=sharing"",""อ่างทอง!I21"")"),0)</f>
        <v>0</v>
      </c>
      <c r="J81" s="201">
        <f ca="1">IFERROR(__xludf.DUMMYFUNCTION("IMPORTRANGE(""https://docs.google.com/spreadsheets/d/1SX6NBoVAgQJ6U1MVXOaj8PK2l7WJ3RER9xtqwdhxkhw/edit?usp=sharing"",""อ่างทอง!J21"")"),0)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IFERROR(__xludf.DUMMYFUNCTION("IMPORTRANGE(""https://docs.google.com/spreadsheets/d/1SX6NBoVAgQJ6U1MVXOaj8PK2l7WJ3RER9xtqwdhxkhw/edit?usp=sharing"",""อ่างทอง!I22"")"),0)</f>
        <v>0</v>
      </c>
      <c r="J82" s="204">
        <f ca="1">IFERROR(__xludf.DUMMYFUNCTION("IMPORTRANGE(""https://docs.google.com/spreadsheets/d/1SX6NBoVAgQJ6U1MVXOaj8PK2l7WJ3RER9xtqwdhxkhw/edit?usp=sharing"",""อ่างทอง!J22"")"),0)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IFERROR(__xludf.DUMMYFUNCTION("IMPORTRANGE(""https://docs.google.com/spreadsheets/d/1SX6NBoVAgQJ6U1MVXOaj8PK2l7WJ3RER9xtqwdhxkhw/edit?usp=sharing"",""อ่างทอง!I23"")"),0)</f>
        <v>0</v>
      </c>
      <c r="J83" s="204">
        <f ca="1">IFERROR(__xludf.DUMMYFUNCTION("IMPORTRANGE(""https://docs.google.com/spreadsheets/d/1SX6NBoVAgQJ6U1MVXOaj8PK2l7WJ3RER9xtqwdhxkhw/edit?usp=sharing"",""อ่างทอง!J23"")"),0)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IFERROR(__xludf.DUMMYFUNCTION("IMPORTRANGE(""https://docs.google.com/spreadsheets/d/1SX6NBoVAgQJ6U1MVXOaj8PK2l7WJ3RER9xtqwdhxkhw/edit?usp=sharing"",""อ่างทอง!I24"")"),0)</f>
        <v>0</v>
      </c>
      <c r="J84" s="189">
        <f ca="1">IFERROR(__xludf.DUMMYFUNCTION("IMPORTRANGE(""https://docs.google.com/spreadsheets/d/1SX6NBoVAgQJ6U1MVXOaj8PK2l7WJ3RER9xtqwdhxkhw/edit?usp=sharing"",""อ่างทอง!J24"")"),0)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IFERROR(__xludf.DUMMYFUNCTION("IMPORTRANGE(""https://docs.google.com/spreadsheets/d/1SX6NBoVAgQJ6U1MVXOaj8PK2l7WJ3RER9xtqwdhxkhw/edit?usp=sharing"",""อ่างทอง!I25"")"),0)</f>
        <v>0</v>
      </c>
      <c r="J85" s="189">
        <f ca="1">IFERROR(__xludf.DUMMYFUNCTION("IMPORTRANGE(""https://docs.google.com/spreadsheets/d/1SX6NBoVAgQJ6U1MVXOaj8PK2l7WJ3RER9xtqwdhxkhw/edit?usp=sharing"",""อ่างทอง!J25"")"),0)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IFERROR(__xludf.DUMMYFUNCTION("IMPORTRANGE(""https://docs.google.com/spreadsheets/d/1SX6NBoVAgQJ6U1MVXOaj8PK2l7WJ3RER9xtqwdhxkhw/edit?usp=sharing"",""อ่างทอง!I26"")"),0)</f>
        <v>0</v>
      </c>
      <c r="J86" s="204">
        <f ca="1">IFERROR(__xludf.DUMMYFUNCTION("IMPORTRANGE(""https://docs.google.com/spreadsheets/d/1SX6NBoVAgQJ6U1MVXOaj8PK2l7WJ3RER9xtqwdhxkhw/edit?usp=sharing"",""อ่างทอง!J26"")"),0)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IFERROR(__xludf.DUMMYFUNCTION("IMPORTRANGE(""https://docs.google.com/spreadsheets/d/1SX6NBoVAgQJ6U1MVXOaj8PK2l7WJ3RER9xtqwdhxkhw/edit?usp=sharing"",""อ่างทอง!I27"")"),0)</f>
        <v>0</v>
      </c>
      <c r="J87" s="204">
        <f ca="1">IFERROR(__xludf.DUMMYFUNCTION("IMPORTRANGE(""https://docs.google.com/spreadsheets/d/1SX6NBoVAgQJ6U1MVXOaj8PK2l7WJ3RER9xtqwdhxkhw/edit?usp=sharing"",""อ่างทอง!J27"")"),0)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IFERROR(__xludf.DUMMYFUNCTION("IMPORTRANGE(""https://docs.google.com/spreadsheets/d/1SX6NBoVAgQJ6U1MVXOaj8PK2l7WJ3RER9xtqwdhxkhw/edit?usp=sharing"",""อ่างทอง!I28"")"),0)</f>
        <v>0</v>
      </c>
      <c r="J88" s="204">
        <f ca="1">IFERROR(__xludf.DUMMYFUNCTION("IMPORTRANGE(""https://docs.google.com/spreadsheets/d/1SX6NBoVAgQJ6U1MVXOaj8PK2l7WJ3RER9xtqwdhxkhw/edit?usp=sharing"",""อ่างทอง!J28"")"),0)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IFERROR(__xludf.DUMMYFUNCTION("IMPORTRANGE(""https://docs.google.com/spreadsheets/d/1SX6NBoVAgQJ6U1MVXOaj8PK2l7WJ3RER9xtqwdhxkhw/edit?usp=sharing"",""อ่างทอง!J29"")"),0)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IFERROR(__xludf.DUMMYFUNCTION("IMPORTRANGE(""https://docs.google.com/spreadsheets/d/1SX6NBoVAgQJ6U1MVXOaj8PK2l7WJ3RER9xtqwdhxkhw/edit?usp=sharing"",""อ่างทอง!J30"")"),0)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IFERROR(__xludf.DUMMYFUNCTION("IMPORTRANGE(""https://docs.google.com/spreadsheets/d/1SX6NBoVAgQJ6U1MVXOaj8PK2l7WJ3RER9xtqwdhxkhw/edit?usp=sharing"",""อ่างทอง!I32"")"),0)</f>
        <v>0</v>
      </c>
      <c r="J92" s="142">
        <f ca="1">IFERROR(__xludf.DUMMYFUNCTION("IMPORTRANGE(""https://docs.google.com/spreadsheets/d/1SX6NBoVAgQJ6U1MVXOaj8PK2l7WJ3RER9xtqwdhxkhw/edit?usp=sharing"",""อ่างทอง!J32"")"),0)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IFERROR(__xludf.DUMMYFUNCTION("IMPORTRANGE(""https://docs.google.com/spreadsheets/d/1SX6NBoVAgQJ6U1MVXOaj8PK2l7WJ3RER9xtqwdhxkhw/edit?usp=sharing"",""อ่างทอง!I33"")"),0)</f>
        <v>0</v>
      </c>
      <c r="J93" s="142">
        <f ca="1">IFERROR(__xludf.DUMMYFUNCTION("IMPORTRANGE(""https://docs.google.com/spreadsheets/d/1SX6NBoVAgQJ6U1MVXOaj8PK2l7WJ3RER9xtqwdhxkhw/edit?usp=sharing"",""อ่างทอง!J33"")"),0)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IFERROR(__xludf.DUMMYFUNCTION("IMPORTRANGE(""https://docs.google.com/spreadsheets/d/1Yj_ptqi66GCucihVvJfMjLAmec39IyEx_6qawtMGysU/edit?usp=sharing"",""สบก!AR79"")"),0)</f>
        <v>0</v>
      </c>
      <c r="N98" s="169">
        <f ca="1">IFERROR(__xludf.DUMMYFUNCTION("IMPORTRANGE(""https://docs.google.com/spreadsheets/d/1Yj_ptqi66GCucihVvJfMjLAmec39IyEx_6qawtMGysU/edit?usp=sharing"",""สบก!AS79"")"),0)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IFERROR(__xludf.DUMMYFUNCTION("IMPORTRANGE(""https://docs.google.com/spreadsheets/d/1Yj_ptqi66GCucihVvJfMjLAmec39IyEx_6qawtMGysU/edit?usp=sharing"",""สบก!AN79"")"),0)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IFERROR(__xludf.DUMMYFUNCTION("IMPORTRANGE(""https://docs.google.com/spreadsheets/d/1Yj_ptqi66GCucihVvJfMjLAmec39IyEx_6qawtMGysU/edit?usp=sharing"",""สบก!AO79"")"),0)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IFERROR(__xludf.DUMMYFUNCTION("IMPORTRANGE(""https://docs.google.com/spreadsheets/d/1Yj_ptqi66GCucihVvJfMjLAmec39IyEx_6qawtMGysU/edit?usp=sharing"",""สบก!AP79"")"),0)</f>
        <v>0</v>
      </c>
      <c r="M102" s="49"/>
      <c r="N102" s="49">
        <f ca="1">IFERROR(__xludf.DUMMYFUNCTION("IMPORTRANGE(""https://docs.google.com/spreadsheets/d/1Yj_ptqi66GCucihVvJfMjLAmec39IyEx_6qawtMGysU/edit?usp=sharing"",""สบก!AT79"")"),0)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IFERROR(__xludf.DUMMYFUNCTION("IMPORTRANGE(""https://docs.google.com/spreadsheets/d/1SX6NBoVAgQJ6U1MVXOaj8PK2l7WJ3RER9xtqwdhxkhw/edit?usp=sharing"",""อ่างทอง!J39"")"),0)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IFERROR(__xludf.DUMMYFUNCTION("IMPORTRANGE(""https://docs.google.com/spreadsheets/d/1SX6NBoVAgQJ6U1MVXOaj8PK2l7WJ3RER9xtqwdhxkhw/edit?usp=sharing"",""อ่างทอง!J40"")"),0)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IFERROR(__xludf.DUMMYFUNCTION("IMPORTRANGE(""https://docs.google.com/spreadsheets/d/1SX6NBoVAgQJ6U1MVXOaj8PK2l7WJ3RER9xtqwdhxkhw/edit?usp=sharing"",""อ่างทอง!J41"")"),0)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IFERROR(__xludf.DUMMYFUNCTION("IMPORTRANGE(""https://docs.google.com/spreadsheets/d/1SX6NBoVAgQJ6U1MVXOaj8PK2l7WJ3RER9xtqwdhxkhw/edit?usp=sharing"",""อ่างทอง!J42"")"),0)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IFERROR(__xludf.DUMMYFUNCTION("IMPORTRANGE(""https://docs.google.com/spreadsheets/d/1SX6NBoVAgQJ6U1MVXOaj8PK2l7WJ3RER9xtqwdhxkhw/edit?usp=sharing"",""อ่างทอง!I43"")"),0)</f>
        <v>0</v>
      </c>
      <c r="J108" s="204">
        <f ca="1">IFERROR(__xludf.DUMMYFUNCTION("IMPORTRANGE(""https://docs.google.com/spreadsheets/d/1SX6NBoVAgQJ6U1MVXOaj8PK2l7WJ3RER9xtqwdhxkhw/edit?usp=sharing"",""อ่างทอง!J43"")"),0)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IFERROR(__xludf.DUMMYFUNCTION("IMPORTRANGE(""https://docs.google.com/spreadsheets/d/1SX6NBoVAgQJ6U1MVXOaj8PK2l7WJ3RER9xtqwdhxkhw/edit?usp=sharing"",""อ่างทอง!I44"")"),0)</f>
        <v>0</v>
      </c>
      <c r="J109" s="204">
        <f ca="1">IFERROR(__xludf.DUMMYFUNCTION("IMPORTRANGE(""https://docs.google.com/spreadsheets/d/1SX6NBoVAgQJ6U1MVXOaj8PK2l7WJ3RER9xtqwdhxkhw/edit?usp=sharing"",""อ่างทอง!J44"")"),0)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IFERROR(__xludf.DUMMYFUNCTION("IMPORTRANGE(""https://docs.google.com/spreadsheets/d/1SX6NBoVAgQJ6U1MVXOaj8PK2l7WJ3RER9xtqwdhxkhw/edit?usp=sharing"",""อ่างทอง!I45"")"),0)</f>
        <v>0</v>
      </c>
      <c r="J110" s="204">
        <f ca="1">IFERROR(__xludf.DUMMYFUNCTION("IMPORTRANGE(""https://docs.google.com/spreadsheets/d/1SX6NBoVAgQJ6U1MVXOaj8PK2l7WJ3RER9xtqwdhxkhw/edit?usp=sharing"",""อ่างทอง!J45"")"),0)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IFERROR(__xludf.DUMMYFUNCTION("IMPORTRANGE(""https://docs.google.com/spreadsheets/d/1SX6NBoVAgQJ6U1MVXOaj8PK2l7WJ3RER9xtqwdhxkhw/edit?usp=sharing"",""อ่างทอง!I46"")"),0)</f>
        <v>0</v>
      </c>
      <c r="J111" s="204">
        <f ca="1">IFERROR(__xludf.DUMMYFUNCTION("IMPORTRANGE(""https://docs.google.com/spreadsheets/d/1SX6NBoVAgQJ6U1MVXOaj8PK2l7WJ3RER9xtqwdhxkhw/edit?usp=sharing"",""อ่างทอง!J46"")"),0)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IFERROR(__xludf.DUMMYFUNCTION("IMPORTRANGE(""https://docs.google.com/spreadsheets/d/1SX6NBoVAgQJ6U1MVXOaj8PK2l7WJ3RER9xtqwdhxkhw/edit?usp=sharing"",""อ่างทอง!I47"")"),0)</f>
        <v>0</v>
      </c>
      <c r="J112" s="204">
        <f ca="1">IFERROR(__xludf.DUMMYFUNCTION("IMPORTRANGE(""https://docs.google.com/spreadsheets/d/1SX6NBoVAgQJ6U1MVXOaj8PK2l7WJ3RER9xtqwdhxkhw/edit?usp=sharing"",""อ่างทอง!J47"")"),0)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IFERROR(__xludf.DUMMYFUNCTION("IMPORTRANGE(""https://docs.google.com/spreadsheets/d/1SX6NBoVAgQJ6U1MVXOaj8PK2l7WJ3RER9xtqwdhxkhw/edit?usp=sharing"",""อ่างทอง!I48"")"),0)</f>
        <v>0</v>
      </c>
      <c r="J113" s="204">
        <f ca="1">IFERROR(__xludf.DUMMYFUNCTION("IMPORTRANGE(""https://docs.google.com/spreadsheets/d/1SX6NBoVAgQJ6U1MVXOaj8PK2l7WJ3RER9xtqwdhxkhw/edit?usp=sharing"",""อ่างทอง!J48"")"),0)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IFERROR(__xludf.DUMMYFUNCTION("IMPORTRANGE(""https://docs.google.com/spreadsheets/d/1SX6NBoVAgQJ6U1MVXOaj8PK2l7WJ3RER9xtqwdhxkhw/edit?usp=sharing"",""อ่างทอง!J49"")"),0)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IFERROR(__xludf.DUMMYFUNCTION("IMPORTRANGE(""https://docs.google.com/spreadsheets/d/1SX6NBoVAgQJ6U1MVXOaj8PK2l7WJ3RER9xtqwdhxkhw/edit?usp=sharing"",""อ่างทอง!J50"")"),0)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IFERROR(__xludf.DUMMYFUNCTION("IMPORTRANGE(""https://docs.google.com/spreadsheets/d/1SX6NBoVAgQJ6U1MVXOaj8PK2l7WJ3RER9xtqwdhxkhw/edit?usp=sharing"",""อ่างทอง!I52"")"),0)</f>
        <v>0</v>
      </c>
      <c r="J117" s="142">
        <f ca="1">IFERROR(__xludf.DUMMYFUNCTION("IMPORTRANGE(""https://docs.google.com/spreadsheets/d/1SX6NBoVAgQJ6U1MVXOaj8PK2l7WJ3RER9xtqwdhxkhw/edit?usp=sharing"",""อ่างทอง!J52"")"),0)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IFERROR(__xludf.DUMMYFUNCTION("IMPORTRANGE(""https://docs.google.com/spreadsheets/d/1Yj_ptqi66GCucihVvJfMjLAmec39IyEx_6qawtMGysU/edit?usp=sharing"",""สบก!BA79"")"),0)</f>
        <v>0</v>
      </c>
      <c r="N122" s="169">
        <f ca="1">IFERROR(__xludf.DUMMYFUNCTION("IMPORTRANGE(""https://docs.google.com/spreadsheets/d/1Yj_ptqi66GCucihVvJfMjLAmec39IyEx_6qawtMGysU/edit?usp=sharing"",""สบก!BB79"")"),0)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IFERROR(__xludf.DUMMYFUNCTION("IMPORTRANGE(""https://docs.google.com/spreadsheets/d/1Yj_ptqi66GCucihVvJfMjLAmec39IyEx_6qawtMGysU/edit?usp=sharing"",""สบก!AW79"")"),0)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IFERROR(__xludf.DUMMYFUNCTION("IMPORTRANGE(""https://docs.google.com/spreadsheets/d/1Yj_ptqi66GCucihVvJfMjLAmec39IyEx_6qawtMGysU/edit?usp=sharing"",""สบก!AX79"")"),0)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IFERROR(__xludf.DUMMYFUNCTION("IMPORTRANGE(""https://docs.google.com/spreadsheets/d/1Yj_ptqi66GCucihVvJfMjLAmec39IyEx_6qawtMGysU/edit?usp=sharing"",""สบก!AY79"")"),0)</f>
        <v>0</v>
      </c>
      <c r="M126" s="49"/>
      <c r="N126" s="49">
        <f ca="1">IFERROR(__xludf.DUMMYFUNCTION("IMPORTRANGE(""https://docs.google.com/spreadsheets/d/1Yj_ptqi66GCucihVvJfMjLAmec39IyEx_6qawtMGysU/edit?usp=sharing"",""สบก!BC79"")"),0)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301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IFERROR(__xludf.DUMMYFUNCTION("IMPORTRANGE(""https://docs.google.com/spreadsheets/d/1SX6NBoVAgQJ6U1MVXOaj8PK2l7WJ3RER9xtqwdhxkhw/edit?usp=sharing"",""อ่างทอง!J58"")"),0)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IFERROR(__xludf.DUMMYFUNCTION("IMPORTRANGE(""https://docs.google.com/spreadsheets/d/1SX6NBoVAgQJ6U1MVXOaj8PK2l7WJ3RER9xtqwdhxkhw/edit?usp=sharing"",""อ่างทอง!J59"")"),0)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IFERROR(__xludf.DUMMYFUNCTION("IMPORTRANGE(""https://docs.google.com/spreadsheets/d/1SX6NBoVAgQJ6U1MVXOaj8PK2l7WJ3RER9xtqwdhxkhw/edit?usp=sharing"",""อ่างทอง!J60"")"),0)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IFERROR(__xludf.DUMMYFUNCTION("IMPORTRANGE(""https://docs.google.com/spreadsheets/d/1SX6NBoVAgQJ6U1MVXOaj8PK2l7WJ3RER9xtqwdhxkhw/edit?usp=sharing"",""อ่างทอง!J61"")"),0)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IFERROR(__xludf.DUMMYFUNCTION("IMPORTRANGE(""https://docs.google.com/spreadsheets/d/1SX6NBoVAgQJ6U1MVXOaj8PK2l7WJ3RER9xtqwdhxkhw/edit?usp=sharing"",""อ่างทอง!I62"")"),0)</f>
        <v>0</v>
      </c>
      <c r="J132" s="204">
        <f ca="1">IFERROR(__xludf.DUMMYFUNCTION("IMPORTRANGE(""https://docs.google.com/spreadsheets/d/1SX6NBoVAgQJ6U1MVXOaj8PK2l7WJ3RER9xtqwdhxkhw/edit?usp=sharing"",""อ่างทอง!J62"")"),0)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IFERROR(__xludf.DUMMYFUNCTION("IMPORTRANGE(""https://docs.google.com/spreadsheets/d/1SX6NBoVAgQJ6U1MVXOaj8PK2l7WJ3RER9xtqwdhxkhw/edit?usp=sharing"",""อ่างทอง!I63"")"),0)</f>
        <v>0</v>
      </c>
      <c r="J133" s="204">
        <f ca="1">IFERROR(__xludf.DUMMYFUNCTION("IMPORTRANGE(""https://docs.google.com/spreadsheets/d/1SX6NBoVAgQJ6U1MVXOaj8PK2l7WJ3RER9xtqwdhxkhw/edit?usp=sharing"",""อ่างทอง!J63"")"),0)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IFERROR(__xludf.DUMMYFUNCTION("IMPORTRANGE(""https://docs.google.com/spreadsheets/d/1SX6NBoVAgQJ6U1MVXOaj8PK2l7WJ3RER9xtqwdhxkhw/edit?usp=sharing"",""อ่างทอง!J64"")"),0)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IFERROR(__xludf.DUMMYFUNCTION("IMPORTRANGE(""https://docs.google.com/spreadsheets/d/1SX6NBoVAgQJ6U1MVXOaj8PK2l7WJ3RER9xtqwdhxkhw/edit?usp=sharing"",""อ่างทอง!J65"")"),0)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IFERROR(__xludf.DUMMYFUNCTION("IMPORTRANGE(""https://docs.google.com/spreadsheets/d/1SX6NBoVAgQJ6U1MVXOaj8PK2l7WJ3RER9xtqwdhxkhw/edit?usp=sharing"",""อ่างทอง!I68"")"),0)</f>
        <v>0</v>
      </c>
      <c r="J138" s="268">
        <f ca="1">IFERROR(__xludf.DUMMYFUNCTION("IMPORTRANGE(""https://docs.google.com/spreadsheets/d/1SX6NBoVAgQJ6U1MVXOaj8PK2l7WJ3RER9xtqwdhxkhw/edit?usp=sharing"",""อ่างทอง!J68"")"),0)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28400</v>
      </c>
      <c r="M140" s="152">
        <f t="shared" ca="1" si="64"/>
        <v>28400</v>
      </c>
      <c r="N140" s="152">
        <f t="shared" ca="1" si="64"/>
        <v>28400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28400</v>
      </c>
      <c r="M142" s="157">
        <f t="shared" ca="1" si="68"/>
        <v>28400</v>
      </c>
      <c r="N142" s="157">
        <f t="shared" ca="1" si="68"/>
        <v>28400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28400</v>
      </c>
      <c r="M144" s="168">
        <f ca="1">IFERROR(__xludf.DUMMYFUNCTION("IMPORTRANGE(""https://docs.google.com/spreadsheets/d/1Yj_ptqi66GCucihVvJfMjLAmec39IyEx_6qawtMGysU/edit?usp=sharing"",""สบก!BJ79"")"),28400)</f>
        <v>28400</v>
      </c>
      <c r="N144" s="169">
        <f ca="1">IFERROR(__xludf.DUMMYFUNCTION("IMPORTRANGE(""https://docs.google.com/spreadsheets/d/1Yj_ptqi66GCucihVvJfMjLAmec39IyEx_6qawtMGysU/edit?usp=sharing"",""สบก!BK79"")"),28400)</f>
        <v>28400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IFERROR(__xludf.DUMMYFUNCTION("IMPORTRANGE(""https://docs.google.com/spreadsheets/d/1Yj_ptqi66GCucihVvJfMjLAmec39IyEx_6qawtMGysU/edit?usp=sharing"",""สบก!BF79"")"),0)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IFERROR(__xludf.DUMMYFUNCTION("IMPORTRANGE(""https://docs.google.com/spreadsheets/d/1Yj_ptqi66GCucihVvJfMjLAmec39IyEx_6qawtMGysU/edit?usp=sharing"",""สบก!BG79"")"),28400)</f>
        <v>28400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IFERROR(__xludf.DUMMYFUNCTION("IMPORTRANGE(""https://docs.google.com/spreadsheets/d/1Yj_ptqi66GCucihVvJfMjLAmec39IyEx_6qawtMGysU/edit?usp=sharing"",""สบก!BH79"")"),0)</f>
        <v>0</v>
      </c>
      <c r="M148" s="49"/>
      <c r="N148" s="49">
        <f ca="1">IFERROR(__xludf.DUMMYFUNCTION("IMPORTRANGE(""https://docs.google.com/spreadsheets/d/1Yj_ptqi66GCucihVvJfMjLAmec39IyEx_6qawtMGysU/edit?usp=sharing"",""สบก!BL79"")"),0)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IFERROR(__xludf.DUMMYFUNCTION("IMPORTRANGE(""https://docs.google.com/spreadsheets/d/1SX6NBoVAgQJ6U1MVXOaj8PK2l7WJ3RER9xtqwdhxkhw/edit?usp=sharing"",""อ่างทอง!I74"")"),4)</f>
        <v>4</v>
      </c>
      <c r="J149" s="276">
        <f ca="1">IFERROR(__xludf.DUMMYFUNCTION("IMPORTRANGE(""https://docs.google.com/spreadsheets/d/1SX6NBoVAgQJ6U1MVXOaj8PK2l7WJ3RER9xtqwdhxkhw/edit?usp=sharing"",""อ่างทอง!J74"")"),2)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IFERROR(__xludf.DUMMYFUNCTION("IMPORTRANGE(""https://docs.google.com/spreadsheets/d/1SX6NBoVAgQJ6U1MVXOaj8PK2l7WJ3RER9xtqwdhxkhw/edit?usp=sharing"",""อ่างทอง!J79"")"),0)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IFERROR(__xludf.DUMMYFUNCTION("IMPORTRANGE(""https://docs.google.com/spreadsheets/d/1SX6NBoVAgQJ6U1MVXOaj8PK2l7WJ3RER9xtqwdhxkhw/edit?usp=sharing"",""อ่างทอง!J80"")"),1)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IFERROR(__xludf.DUMMYFUNCTION("IMPORTRANGE(""https://docs.google.com/spreadsheets/d/1SX6NBoVAgQJ6U1MVXOaj8PK2l7WJ3RER9xtqwdhxkhw/edit?usp=sharing"",""อ่างทอง!J81"")"),1)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IFERROR(__xludf.DUMMYFUNCTION("IMPORTRANGE(""https://docs.google.com/spreadsheets/d/1SX6NBoVAgQJ6U1MVXOaj8PK2l7WJ3RER9xtqwdhxkhw/edit?usp=sharing"",""อ่างทอง!J82"")"),1)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IFERROR(__xludf.DUMMYFUNCTION("IMPORTRANGE(""https://docs.google.com/spreadsheets/d/1SX6NBoVAgQJ6U1MVXOaj8PK2l7WJ3RER9xtqwdhxkhw/edit?usp=sharing"",""อ่างทอง!I83"")"),4)</f>
        <v>4</v>
      </c>
      <c r="J158" s="189">
        <f ca="1">IFERROR(__xludf.DUMMYFUNCTION("IMPORTRANGE(""https://docs.google.com/spreadsheets/d/1SX6NBoVAgQJ6U1MVXOaj8PK2l7WJ3RER9xtqwdhxkhw/edit?usp=sharing"",""อ่างทอง!J83"")"),2)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IFERROR(__xludf.DUMMYFUNCTION("IMPORTRANGE(""https://docs.google.com/spreadsheets/d/1SX6NBoVAgQJ6U1MVXOaj8PK2l7WJ3RER9xtqwdhxkhw/edit?usp=sharing"",""อ่างทอง!J84"")"),47)</f>
        <v>47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IFERROR(__xludf.DUMMYFUNCTION("IMPORTRANGE(""https://docs.google.com/spreadsheets/d/1SX6NBoVAgQJ6U1MVXOaj8PK2l7WJ3RER9xtqwdhxkhw/edit?usp=sharing"",""อ่างทอง!J85"")"),47)</f>
        <v>47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IFERROR(__xludf.DUMMYFUNCTION("IMPORTRANGE(""https://docs.google.com/spreadsheets/d/1SX6NBoVAgQJ6U1MVXOaj8PK2l7WJ3RER9xtqwdhxkhw/edit?usp=sharing"",""อ่างทอง!J86"")"),0)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IFERROR(__xludf.DUMMYFUNCTION("IMPORTRANGE(""https://docs.google.com/spreadsheets/d/1SX6NBoVAgQJ6U1MVXOaj8PK2l7WJ3RER9xtqwdhxkhw/edit?usp=sharing"",""อ่างทอง!J87"")"),0)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IFERROR(__xludf.DUMMYFUNCTION("IMPORTRANGE(""https://docs.google.com/spreadsheets/d/1SX6NBoVAgQJ6U1MVXOaj8PK2l7WJ3RER9xtqwdhxkhw/edit?usp=sharing"",""อ่างทอง!J88"")"),0)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IFERROR(__xludf.DUMMYFUNCTION("IMPORTRANGE(""https://docs.google.com/spreadsheets/d/1SX6NBoVAgQJ6U1MVXOaj8PK2l7WJ3RER9xtqwdhxkhw/edit?usp=sharing"",""อ่างทอง!I89"")"),1)</f>
        <v>1</v>
      </c>
      <c r="J164" s="285">
        <f ca="1">IFERROR(__xludf.DUMMYFUNCTION("IMPORTRANGE(""https://docs.google.com/spreadsheets/d/1SX6NBoVAgQJ6U1MVXOaj8PK2l7WJ3RER9xtqwdhxkhw/edit?usp=sharing"",""อ่างทอง!J89"")"),1)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IFERROR(__xludf.DUMMYFUNCTION("IMPORTRANGE(""https://docs.google.com/spreadsheets/d/1SX6NBoVAgQJ6U1MVXOaj8PK2l7WJ3RER9xtqwdhxkhw/edit?usp=sharing"",""อ่างทอง!J94"")"),0)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IFERROR(__xludf.DUMMYFUNCTION("IMPORTRANGE(""https://docs.google.com/spreadsheets/d/1SX6NBoVAgQJ6U1MVXOaj8PK2l7WJ3RER9xtqwdhxkhw/edit?usp=sharing"",""อ่างทอง!J95"")"),1)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IFERROR(__xludf.DUMMYFUNCTION("IMPORTRANGE(""https://docs.google.com/spreadsheets/d/1SX6NBoVAgQJ6U1MVXOaj8PK2l7WJ3RER9xtqwdhxkhw/edit?usp=sharing"",""อ่างทอง!J96"")"),1)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IFERROR(__xludf.DUMMYFUNCTION("IMPORTRANGE(""https://docs.google.com/spreadsheets/d/1SX6NBoVAgQJ6U1MVXOaj8PK2l7WJ3RER9xtqwdhxkhw/edit?usp=sharing"",""อ่างทอง!J97"")"),1)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IFERROR(__xludf.DUMMYFUNCTION("IMPORTRANGE(""https://docs.google.com/spreadsheets/d/1SX6NBoVAgQJ6U1MVXOaj8PK2l7WJ3RER9xtqwdhxkhw/edit?usp=sharing"",""อ่างทอง!I98"")"),1)</f>
        <v>1</v>
      </c>
      <c r="J173" s="189">
        <f ca="1">IFERROR(__xludf.DUMMYFUNCTION("IMPORTRANGE(""https://docs.google.com/spreadsheets/d/1SX6NBoVAgQJ6U1MVXOaj8PK2l7WJ3RER9xtqwdhxkhw/edit?usp=sharing"",""อ่างทอง!J98"")"),1)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IFERROR(__xludf.DUMMYFUNCTION("IMPORTRANGE(""https://docs.google.com/spreadsheets/d/1SX6NBoVAgQJ6U1MVXOaj8PK2l7WJ3RER9xtqwdhxkhw/edit?usp=sharing"",""อ่างทอง!J99"")"),0)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IFERROR(__xludf.DUMMYFUNCTION("IMPORTRANGE(""https://docs.google.com/spreadsheets/d/1SX6NBoVAgQJ6U1MVXOaj8PK2l7WJ3RER9xtqwdhxkhw/edit?usp=sharing"",""อ่างทอง!J100"")"),0)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IFERROR(__xludf.DUMMYFUNCTION("IMPORTRANGE(""https://docs.google.com/spreadsheets/d/1SX6NBoVAgQJ6U1MVXOaj8PK2l7WJ3RER9xtqwdhxkhw/edit?usp=sharing"",""อ่างทอง!I101"")"),0)</f>
        <v>0</v>
      </c>
      <c r="J176" s="285">
        <f ca="1">IFERROR(__xludf.DUMMYFUNCTION("IMPORTRANGE(""https://docs.google.com/spreadsheets/d/1SX6NBoVAgQJ6U1MVXOaj8PK2l7WJ3RER9xtqwdhxkhw/edit?usp=sharing"",""อ่างทอง!J101"")"),0)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IFERROR(__xludf.DUMMYFUNCTION("IMPORTRANGE(""https://docs.google.com/spreadsheets/d/1SX6NBoVAgQJ6U1MVXOaj8PK2l7WJ3RER9xtqwdhxkhw/edit?usp=sharing"",""อ่างทอง!J106"")"),0)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IFERROR(__xludf.DUMMYFUNCTION("IMPORTRANGE(""https://docs.google.com/spreadsheets/d/1SX6NBoVAgQJ6U1MVXOaj8PK2l7WJ3RER9xtqwdhxkhw/edit?usp=sharing"",""อ่างทอง!J107"")"),0)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IFERROR(__xludf.DUMMYFUNCTION("IMPORTRANGE(""https://docs.google.com/spreadsheets/d/1SX6NBoVAgQJ6U1MVXOaj8PK2l7WJ3RER9xtqwdhxkhw/edit?usp=sharing"",""อ่างทอง!J108"")"),0)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IFERROR(__xludf.DUMMYFUNCTION("IMPORTRANGE(""https://docs.google.com/spreadsheets/d/1SX6NBoVAgQJ6U1MVXOaj8PK2l7WJ3RER9xtqwdhxkhw/edit?usp=sharing"",""อ่างทอง!J109"")"),0)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IFERROR(__xludf.DUMMYFUNCTION("IMPORTRANGE(""https://docs.google.com/spreadsheets/d/1SX6NBoVAgQJ6U1MVXOaj8PK2l7WJ3RER9xtqwdhxkhw/edit?usp=sharing"",""อ่างทอง!I110"")"),0)</f>
        <v>0</v>
      </c>
      <c r="J185" s="204">
        <f ca="1">IFERROR(__xludf.DUMMYFUNCTION("IMPORTRANGE(""https://docs.google.com/spreadsheets/d/1SX6NBoVAgQJ6U1MVXOaj8PK2l7WJ3RER9xtqwdhxkhw/edit?usp=sharing"",""อ่างทอง!J110"")"),0)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IFERROR(__xludf.DUMMYFUNCTION("IMPORTRANGE(""https://docs.google.com/spreadsheets/d/1SX6NBoVAgQJ6U1MVXOaj8PK2l7WJ3RER9xtqwdhxkhw/edit?usp=sharing"",""อ่างทอง!I111"")"),0)</f>
        <v>0</v>
      </c>
      <c r="J186" s="204">
        <f ca="1">IFERROR(__xludf.DUMMYFUNCTION("IMPORTRANGE(""https://docs.google.com/spreadsheets/d/1SX6NBoVAgQJ6U1MVXOaj8PK2l7WJ3RER9xtqwdhxkhw/edit?usp=sharing"",""อ่างทอง!J111"")"),0)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IFERROR(__xludf.DUMMYFUNCTION("IMPORTRANGE(""https://docs.google.com/spreadsheets/d/1SX6NBoVAgQJ6U1MVXOaj8PK2l7WJ3RER9xtqwdhxkhw/edit?usp=sharing"",""อ่างทอง!J112"")"),0)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IFERROR(__xludf.DUMMYFUNCTION("IMPORTRANGE(""https://docs.google.com/spreadsheets/d/1SX6NBoVAgQJ6U1MVXOaj8PK2l7WJ3RER9xtqwdhxkhw/edit?usp=sharing"",""อ่างทอง!J113"")"),0)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IFERROR(__xludf.DUMMYFUNCTION("IMPORTRANGE(""https://docs.google.com/spreadsheets/d/1SX6NBoVAgQJ6U1MVXOaj8PK2l7WJ3RER9xtqwdhxkhw/edit?usp=sharing"",""อ่างทอง!I114"")"),5000)</f>
        <v>5000</v>
      </c>
      <c r="J189" s="285">
        <f ca="1">IFERROR(__xludf.DUMMYFUNCTION("IMPORTRANGE(""https://docs.google.com/spreadsheets/d/1SX6NBoVAgQJ6U1MVXOaj8PK2l7WJ3RER9xtqwdhxkhw/edit?usp=sharing"",""อ่างทอง!J114"")"),5000)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IFERROR(__xludf.DUMMYFUNCTION("IMPORTRANGE(""https://docs.google.com/spreadsheets/d/1SX6NBoVAgQJ6U1MVXOaj8PK2l7WJ3RER9xtqwdhxkhw/edit?usp=sharing"",""อ่างทอง!J119"")"),0)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IFERROR(__xludf.DUMMYFUNCTION("IMPORTRANGE(""https://docs.google.com/spreadsheets/d/1SX6NBoVAgQJ6U1MVXOaj8PK2l7WJ3RER9xtqwdhxkhw/edit?usp=sharing"",""อ่างทอง!J120"")"),1)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IFERROR(__xludf.DUMMYFUNCTION("IMPORTRANGE(""https://docs.google.com/spreadsheets/d/1SX6NBoVAgQJ6U1MVXOaj8PK2l7WJ3RER9xtqwdhxkhw/edit?usp=sharing"",""อ่างทอง!J121"")"),1)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IFERROR(__xludf.DUMMYFUNCTION("IMPORTRANGE(""https://docs.google.com/spreadsheets/d/1SX6NBoVAgQJ6U1MVXOaj8PK2l7WJ3RER9xtqwdhxkhw/edit?usp=sharing"",""อ่างทอง!J122"")"),1)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IFERROR(__xludf.DUMMYFUNCTION("IMPORTRANGE(""https://docs.google.com/spreadsheets/d/1SX6NBoVAgQJ6U1MVXOaj8PK2l7WJ3RER9xtqwdhxkhw/edit?usp=sharing"",""อ่างทอง!I124"")"),5000)</f>
        <v>5000</v>
      </c>
      <c r="J199" s="189">
        <f ca="1">IFERROR(__xludf.DUMMYFUNCTION("IMPORTRANGE(""https://docs.google.com/spreadsheets/d/1SX6NBoVAgQJ6U1MVXOaj8PK2l7WJ3RER9xtqwdhxkhw/edit?usp=sharing"",""อ่างทอง!J124"")"),5000)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IFERROR(__xludf.DUMMYFUNCTION("IMPORTRANGE(""https://docs.google.com/spreadsheets/d/1SX6NBoVAgQJ6U1MVXOaj8PK2l7WJ3RER9xtqwdhxkhw/edit?usp=sharing"",""อ่างทอง!I125"")"),5000)</f>
        <v>5000</v>
      </c>
      <c r="J200" s="189">
        <f ca="1">IFERROR(__xludf.DUMMYFUNCTION("IMPORTRANGE(""https://docs.google.com/spreadsheets/d/1SX6NBoVAgQJ6U1MVXOaj8PK2l7WJ3RER9xtqwdhxkhw/edit?usp=sharing"",""อ่างทอง!J125"")"),5000)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IFERROR(__xludf.DUMMYFUNCTION("IMPORTRANGE(""https://docs.google.com/spreadsheets/d/1SX6NBoVAgQJ6U1MVXOaj8PK2l7WJ3RER9xtqwdhxkhw/edit?usp=sharing"",""อ่างทอง!I126"")"),0)</f>
        <v>0</v>
      </c>
      <c r="J201" s="189">
        <f ca="1">IFERROR(__xludf.DUMMYFUNCTION("IMPORTRANGE(""https://docs.google.com/spreadsheets/d/1SX6NBoVAgQJ6U1MVXOaj8PK2l7WJ3RER9xtqwdhxkhw/edit?usp=sharing"",""อ่างทอง!J126"")"),0)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IFERROR(__xludf.DUMMYFUNCTION("IMPORTRANGE(""https://docs.google.com/spreadsheets/d/1SX6NBoVAgQJ6U1MVXOaj8PK2l7WJ3RER9xtqwdhxkhw/edit?usp=sharing"",""อ่างทอง!J127"")"),0)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IFERROR(__xludf.DUMMYFUNCTION("IMPORTRANGE(""https://docs.google.com/spreadsheets/d/1SX6NBoVAgQJ6U1MVXOaj8PK2l7WJ3RER9xtqwdhxkhw/edit?usp=sharing"",""อ่างทอง!J128"")"),0)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IFERROR(__xludf.DUMMYFUNCTION("IMPORTRANGE(""https://docs.google.com/spreadsheets/d/1SX6NBoVAgQJ6U1MVXOaj8PK2l7WJ3RER9xtqwdhxkhw/edit?usp=sharing"",""อ่างทอง!I129"")"),0)</f>
        <v>0</v>
      </c>
      <c r="J204" s="285">
        <f ca="1">IFERROR(__xludf.DUMMYFUNCTION("IMPORTRANGE(""https://docs.google.com/spreadsheets/d/1SX6NBoVAgQJ6U1MVXOaj8PK2l7WJ3RER9xtqwdhxkhw/edit?usp=sharing"",""อ่างทอง!J129"")"),0)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IFERROR(__xludf.DUMMYFUNCTION("IMPORTRANGE(""https://docs.google.com/spreadsheets/d/1SX6NBoVAgQJ6U1MVXOaj8PK2l7WJ3RER9xtqwdhxkhw/edit?usp=sharing"",""อ่างทอง!J134"")"),0)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IFERROR(__xludf.DUMMYFUNCTION("IMPORTRANGE(""https://docs.google.com/spreadsheets/d/1SX6NBoVAgQJ6U1MVXOaj8PK2l7WJ3RER9xtqwdhxkhw/edit?usp=sharing"",""อ่างทอง!J135"")"),0)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IFERROR(__xludf.DUMMYFUNCTION("IMPORTRANGE(""https://docs.google.com/spreadsheets/d/1SX6NBoVAgQJ6U1MVXOaj8PK2l7WJ3RER9xtqwdhxkhw/edit?usp=sharing"",""อ่างทอง!J136"")"),0)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IFERROR(__xludf.DUMMYFUNCTION("IMPORTRANGE(""https://docs.google.com/spreadsheets/d/1SX6NBoVAgQJ6U1MVXOaj8PK2l7WJ3RER9xtqwdhxkhw/edit?usp=sharing"",""อ่างทอง!J137"")"),0)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IFERROR(__xludf.DUMMYFUNCTION("IMPORTRANGE(""https://docs.google.com/spreadsheets/d/1SX6NBoVAgQJ6U1MVXOaj8PK2l7WJ3RER9xtqwdhxkhw/edit?usp=sharing"",""อ่างทอง!I138"")"),0)</f>
        <v>0</v>
      </c>
      <c r="J213" s="204">
        <f ca="1">IFERROR(__xludf.DUMMYFUNCTION("IMPORTRANGE(""https://docs.google.com/spreadsheets/d/1SX6NBoVAgQJ6U1MVXOaj8PK2l7WJ3RER9xtqwdhxkhw/edit?usp=sharing"",""อ่างทอง!J138"")"),0)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IFERROR(__xludf.DUMMYFUNCTION("IMPORTRANGE(""https://docs.google.com/spreadsheets/d/1SX6NBoVAgQJ6U1MVXOaj8PK2l7WJ3RER9xtqwdhxkhw/edit?usp=sharing"",""อ่างทอง!I140"")"),0)</f>
        <v>0</v>
      </c>
      <c r="J215" s="204">
        <f ca="1">IFERROR(__xludf.DUMMYFUNCTION("IMPORTRANGE(""https://docs.google.com/spreadsheets/d/1SX6NBoVAgQJ6U1MVXOaj8PK2l7WJ3RER9xtqwdhxkhw/edit?usp=sharing"",""อ่างทอง!J140"")"),0)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IFERROR(__xludf.DUMMYFUNCTION("IMPORTRANGE(""https://docs.google.com/spreadsheets/d/1SX6NBoVAgQJ6U1MVXOaj8PK2l7WJ3RER9xtqwdhxkhw/edit?usp=sharing"",""อ่างทอง!I141"")"),0)</f>
        <v>0</v>
      </c>
      <c r="J216" s="204">
        <f ca="1">IFERROR(__xludf.DUMMYFUNCTION("IMPORTRANGE(""https://docs.google.com/spreadsheets/d/1SX6NBoVAgQJ6U1MVXOaj8PK2l7WJ3RER9xtqwdhxkhw/edit?usp=sharing"",""อ่างทอง!J141"")"),0)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IFERROR(__xludf.DUMMYFUNCTION("IMPORTRANGE(""https://docs.google.com/spreadsheets/d/1SX6NBoVAgQJ6U1MVXOaj8PK2l7WJ3RER9xtqwdhxkhw/edit?usp=sharing"",""อ่างทอง!J142"")"),0)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IFERROR(__xludf.DUMMYFUNCTION("IMPORTRANGE(""https://docs.google.com/spreadsheets/d/1SX6NBoVAgQJ6U1MVXOaj8PK2l7WJ3RER9xtqwdhxkhw/edit?usp=sharing"",""อ่างทอง!J143"")"),0)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IFERROR(__xludf.DUMMYFUNCTION("IMPORTRANGE(""https://docs.google.com/spreadsheets/d/1SX6NBoVAgQJ6U1MVXOaj8PK2l7WJ3RER9xtqwdhxkhw/edit?usp=sharing"",""อ่างทอง!I144"")"),0)</f>
        <v>0</v>
      </c>
      <c r="J219" s="268">
        <f ca="1">IFERROR(__xludf.DUMMYFUNCTION("IMPORTRANGE(""https://docs.google.com/spreadsheets/d/1SX6NBoVAgQJ6U1MVXOaj8PK2l7WJ3RER9xtqwdhxkhw/edit?usp=sharing"",""อ่างทอง!J144"")"),0)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IFERROR(__xludf.DUMMYFUNCTION("IMPORTRANGE(""https://docs.google.com/spreadsheets/d/1Yj_ptqi66GCucihVvJfMjLAmec39IyEx_6qawtMGysU/edit?usp=sharing"",""สบก!BS79"")"),0)</f>
        <v>0</v>
      </c>
      <c r="N224" s="169">
        <f ca="1">IFERROR(__xludf.DUMMYFUNCTION("IMPORTRANGE(""https://docs.google.com/spreadsheets/d/1Yj_ptqi66GCucihVvJfMjLAmec39IyEx_6qawtMGysU/edit?usp=sharing"",""สบก!BT79"")"),0)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IFERROR(__xludf.DUMMYFUNCTION("IMPORTRANGE(""https://docs.google.com/spreadsheets/d/1Yj_ptqi66GCucihVvJfMjLAmec39IyEx_6qawtMGysU/edit?usp=sharing"",""สบก!BO79"")"),0)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IFERROR(__xludf.DUMMYFUNCTION("IMPORTRANGE(""https://docs.google.com/spreadsheets/d/1Yj_ptqi66GCucihVvJfMjLAmec39IyEx_6qawtMGysU/edit?usp=sharing"",""สบก!BP79"")"),0)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IFERROR(__xludf.DUMMYFUNCTION("IMPORTRANGE(""https://docs.google.com/spreadsheets/d/1Yj_ptqi66GCucihVvJfMjLAmec39IyEx_6qawtMGysU/edit?usp=sharing"",""สบก!BQ79"")"),0)</f>
        <v>0</v>
      </c>
      <c r="M228" s="49"/>
      <c r="N228" s="49">
        <f ca="1">IFERROR(__xludf.DUMMYFUNCTION("IMPORTRANGE(""https://docs.google.com/spreadsheets/d/1Yj_ptqi66GCucihVvJfMjLAmec39IyEx_6qawtMGysU/edit?usp=sharing"",""สบก!BU79"")"),0)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IFERROR(__xludf.DUMMYFUNCTION("IMPORTRANGE(""https://docs.google.com/spreadsheets/d/1SX6NBoVAgQJ6U1MVXOaj8PK2l7WJ3RER9xtqwdhxkhw/edit?usp=sharing"",""อ่างทอง!I149"")"),0)</f>
        <v>0</v>
      </c>
      <c r="J229" s="268">
        <f ca="1">IFERROR(__xludf.DUMMYFUNCTION("IMPORTRANGE(""https://docs.google.com/spreadsheets/d/1SX6NBoVAgQJ6U1MVXOaj8PK2l7WJ3RER9xtqwdhxkhw/edit?usp=sharing"",""อ่างทอง!J149"")"),0)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IFERROR(__xludf.DUMMYFUNCTION("IMPORTRANGE(""https://docs.google.com/spreadsheets/d/1SX6NBoVAgQJ6U1MVXOaj8PK2l7WJ3RER9xtqwdhxkhw/edit?usp=sharing"",""อ่างทอง!J151"")"),0)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IFERROR(__xludf.DUMMYFUNCTION("IMPORTRANGE(""https://docs.google.com/spreadsheets/d/1SX6NBoVAgQJ6U1MVXOaj8PK2l7WJ3RER9xtqwdhxkhw/edit?usp=sharing"",""อ่างทอง!J152"")"),0)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IFERROR(__xludf.DUMMYFUNCTION("IMPORTRANGE(""https://docs.google.com/spreadsheets/d/1SX6NBoVAgQJ6U1MVXOaj8PK2l7WJ3RER9xtqwdhxkhw/edit?usp=sharing"",""อ่างทอง!J153"")"),0)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IFERROR(__xludf.DUMMYFUNCTION("IMPORTRANGE(""https://docs.google.com/spreadsheets/d/1SX6NBoVAgQJ6U1MVXOaj8PK2l7WJ3RER9xtqwdhxkhw/edit?usp=sharing"",""อ่างทอง!J154"")"),0)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IFERROR(__xludf.DUMMYFUNCTION("IMPORTRANGE(""https://docs.google.com/spreadsheets/d/1SX6NBoVAgQJ6U1MVXOaj8PK2l7WJ3RER9xtqwdhxkhw/edit?usp=sharing"",""อ่างทอง!I155"")"),0)</f>
        <v>0</v>
      </c>
      <c r="J235" s="189">
        <f ca="1">IFERROR(__xludf.DUMMYFUNCTION("IMPORTRANGE(""https://docs.google.com/spreadsheets/d/1SX6NBoVAgQJ6U1MVXOaj8PK2l7WJ3RER9xtqwdhxkhw/edit?usp=sharing"",""อ่างทอง!J155"")"),0)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IFERROR(__xludf.DUMMYFUNCTION("IMPORTRANGE(""https://docs.google.com/spreadsheets/d/1SX6NBoVAgQJ6U1MVXOaj8PK2l7WJ3RER9xtqwdhxkhw/edit?usp=sharing"",""อ่างทอง!J156"")"),0)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IFERROR(__xludf.DUMMYFUNCTION("IMPORTRANGE(""https://docs.google.com/spreadsheets/d/1SX6NBoVAgQJ6U1MVXOaj8PK2l7WJ3RER9xtqwdhxkhw/edit?usp=sharing"",""อ่างทอง!J157"")"),0)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IFERROR(__xludf.DUMMYFUNCTION("IMPORTRANGE(""https://docs.google.com/spreadsheets/d/1SX6NBoVAgQJ6U1MVXOaj8PK2l7WJ3RER9xtqwdhxkhw/edit?usp=sharing"",""อ่างทอง!I158"")"),0)</f>
        <v>0</v>
      </c>
      <c r="J238" s="268">
        <f ca="1">IFERROR(__xludf.DUMMYFUNCTION("IMPORTRANGE(""https://docs.google.com/spreadsheets/d/1SX6NBoVAgQJ6U1MVXOaj8PK2l7WJ3RER9xtqwdhxkhw/edit?usp=sharing"",""อ่างทอง!J158"")"),0)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IFERROR(__xludf.DUMMYFUNCTION("IMPORTRANGE(""https://docs.google.com/spreadsheets/d/1SX6NBoVAgQJ6U1MVXOaj8PK2l7WJ3RER9xtqwdhxkhw/edit?usp=sharing"",""อ่างทอง!J159"")"),"")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IFERROR(__xludf.DUMMYFUNCTION("IMPORTRANGE(""https://docs.google.com/spreadsheets/d/1SX6NBoVAgQJ6U1MVXOaj8PK2l7WJ3RER9xtqwdhxkhw/edit?usp=sharing"",""อ่างทอง!J161"")"),0)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IFERROR(__xludf.DUMMYFUNCTION("IMPORTRANGE(""https://docs.google.com/spreadsheets/d/1SX6NBoVAgQJ6U1MVXOaj8PK2l7WJ3RER9xtqwdhxkhw/edit?usp=sharing"",""อ่างทอง!J162"")"),0)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IFERROR(__xludf.DUMMYFUNCTION("IMPORTRANGE(""https://docs.google.com/spreadsheets/d/1SX6NBoVAgQJ6U1MVXOaj8PK2l7WJ3RER9xtqwdhxkhw/edit?usp=sharing"",""อ่างทอง!J163"")"),0)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IFERROR(__xludf.DUMMYFUNCTION("IMPORTRANGE(""https://docs.google.com/spreadsheets/d/1SX6NBoVAgQJ6U1MVXOaj8PK2l7WJ3RER9xtqwdhxkhw/edit?usp=sharing"",""อ่างทอง!I164"")"),0)</f>
        <v>0</v>
      </c>
      <c r="J244" s="188">
        <f ca="1">IFERROR(__xludf.DUMMYFUNCTION("IMPORTRANGE(""https://docs.google.com/spreadsheets/d/1SX6NBoVAgQJ6U1MVXOaj8PK2l7WJ3RER9xtqwdhxkhw/edit?usp=sharing"",""อ่างทอง!J164"")"),0)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IFERROR(__xludf.DUMMYFUNCTION("IMPORTRANGE(""https://docs.google.com/spreadsheets/d/1SX6NBoVAgQJ6U1MVXOaj8PK2l7WJ3RER9xtqwdhxkhw/edit?usp=sharing"",""อ่างทอง!J165"")"),0)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IFERROR(__xludf.DUMMYFUNCTION("IMPORTRANGE(""https://docs.google.com/spreadsheets/d/1SX6NBoVAgQJ6U1MVXOaj8PK2l7WJ3RER9xtqwdhxkhw/edit?usp=sharing"",""อ่างทอง!J166"")"),0)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IFERROR(__xludf.DUMMYFUNCTION("IMPORTRANGE(""https://docs.google.com/spreadsheets/d/1SX6NBoVAgQJ6U1MVXOaj8PK2l7WJ3RER9xtqwdhxkhw/edit?usp=sharing"",""อ่างทอง!I169"")"),0)</f>
        <v>0</v>
      </c>
      <c r="J249" s="317">
        <f ca="1">IFERROR(__xludf.DUMMYFUNCTION("IMPORTRANGE(""https://docs.google.com/spreadsheets/d/1SX6NBoVAgQJ6U1MVXOaj8PK2l7WJ3RER9xtqwdhxkhw/edit?usp=sharing"",""อ่างทอง!J169"")"),0)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IFERROR(__xludf.DUMMYFUNCTION("IMPORTRANGE(""https://docs.google.com/spreadsheets/d/1Yj_ptqi66GCucihVvJfMjLAmec39IyEx_6qawtMGysU/edit?usp=sharing"",""สบก!CB79"")"),0)</f>
        <v>0</v>
      </c>
      <c r="N254" s="169">
        <f ca="1">IFERROR(__xludf.DUMMYFUNCTION("IMPORTRANGE(""https://docs.google.com/spreadsheets/d/1Yj_ptqi66GCucihVvJfMjLAmec39IyEx_6qawtMGysU/edit?usp=sharing"",""สบก!CC79"")"),0)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IFERROR(__xludf.DUMMYFUNCTION("IMPORTRANGE(""https://docs.google.com/spreadsheets/d/1Yj_ptqi66GCucihVvJfMjLAmec39IyEx_6qawtMGysU/edit?usp=sharing"",""สบก!BX79"")"),0)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IFERROR(__xludf.DUMMYFUNCTION("IMPORTRANGE(""https://docs.google.com/spreadsheets/d/1Yj_ptqi66GCucihVvJfMjLAmec39IyEx_6qawtMGysU/edit?usp=sharing"",""สบก!BY79"")"),0)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IFERROR(__xludf.DUMMYFUNCTION("IMPORTRANGE(""https://docs.google.com/spreadsheets/d/1Yj_ptqi66GCucihVvJfMjLAmec39IyEx_6qawtMGysU/edit?usp=sharing"",""สบก!BZ79"")"),0)</f>
        <v>0</v>
      </c>
      <c r="M258" s="49"/>
      <c r="N258" s="49">
        <f ca="1">IFERROR(__xludf.DUMMYFUNCTION("IMPORTRANGE(""https://docs.google.com/spreadsheets/d/1Yj_ptqi66GCucihVvJfMjLAmec39IyEx_6qawtMGysU/edit?usp=sharing"",""สบก!CD79"")"),0)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IFERROR(__xludf.DUMMYFUNCTION("IMPORTRANGE(""https://docs.google.com/spreadsheets/d/1SX6NBoVAgQJ6U1MVXOaj8PK2l7WJ3RER9xtqwdhxkhw/edit?usp=sharing"",""อ่างทอง!J175"")"),0)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IFERROR(__xludf.DUMMYFUNCTION("IMPORTRANGE(""https://docs.google.com/spreadsheets/d/1SX6NBoVAgQJ6U1MVXOaj8PK2l7WJ3RER9xtqwdhxkhw/edit?usp=sharing"",""อ่างทอง!J176"")"),0)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IFERROR(__xludf.DUMMYFUNCTION("IMPORTRANGE(""https://docs.google.com/spreadsheets/d/1SX6NBoVAgQJ6U1MVXOaj8PK2l7WJ3RER9xtqwdhxkhw/edit?usp=sharing"",""อ่างทอง!J177"")"),0)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IFERROR(__xludf.DUMMYFUNCTION("IMPORTRANGE(""https://docs.google.com/spreadsheets/d/1SX6NBoVAgQJ6U1MVXOaj8PK2l7WJ3RER9xtqwdhxkhw/edit?usp=sharing"",""อ่างทอง!J178"")"),0)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IFERROR(__xludf.DUMMYFUNCTION("IMPORTRANGE(""https://docs.google.com/spreadsheets/d/1SX6NBoVAgQJ6U1MVXOaj8PK2l7WJ3RER9xtqwdhxkhw/edit?usp=sharing"",""อ่างทอง!I179"")"),0)</f>
        <v>0</v>
      </c>
      <c r="J264" s="189">
        <f ca="1">IFERROR(__xludf.DUMMYFUNCTION("IMPORTRANGE(""https://docs.google.com/spreadsheets/d/1SX6NBoVAgQJ6U1MVXOaj8PK2l7WJ3RER9xtqwdhxkhw/edit?usp=sharing"",""อ่างทอง!J179"")"),0)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IFERROR(__xludf.DUMMYFUNCTION("IMPORTRANGE(""https://docs.google.com/spreadsheets/d/1SX6NBoVAgQJ6U1MVXOaj8PK2l7WJ3RER9xtqwdhxkhw/edit?usp=sharing"",""อ่างทอง!I180"")"),0)</f>
        <v>0</v>
      </c>
      <c r="J265" s="189">
        <f ca="1">IFERROR(__xludf.DUMMYFUNCTION("IMPORTRANGE(""https://docs.google.com/spreadsheets/d/1SX6NBoVAgQJ6U1MVXOaj8PK2l7WJ3RER9xtqwdhxkhw/edit?usp=sharing"",""อ่างทอง!J180"")"),0)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IFERROR(__xludf.DUMMYFUNCTION("IMPORTRANGE(""https://docs.google.com/spreadsheets/d/1SX6NBoVAgQJ6U1MVXOaj8PK2l7WJ3RER9xtqwdhxkhw/edit?usp=sharing"",""อ่างทอง!I181"")"),0)</f>
        <v>0</v>
      </c>
      <c r="J266" s="189">
        <f ca="1">IFERROR(__xludf.DUMMYFUNCTION("IMPORTRANGE(""https://docs.google.com/spreadsheets/d/1SX6NBoVAgQJ6U1MVXOaj8PK2l7WJ3RER9xtqwdhxkhw/edit?usp=sharing"",""อ่างทอง!J181"")"),0)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IFERROR(__xludf.DUMMYFUNCTION("IMPORTRANGE(""https://docs.google.com/spreadsheets/d/1SX6NBoVAgQJ6U1MVXOaj8PK2l7WJ3RER9xtqwdhxkhw/edit?usp=sharing"",""อ่างทอง!I182"")"),0)</f>
        <v>0</v>
      </c>
      <c r="J267" s="189">
        <f ca="1">IFERROR(__xludf.DUMMYFUNCTION("IMPORTRANGE(""https://docs.google.com/spreadsheets/d/1SX6NBoVAgQJ6U1MVXOaj8PK2l7WJ3RER9xtqwdhxkhw/edit?usp=sharing"",""อ่างทอง!J182"")"),0)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IFERROR(__xludf.DUMMYFUNCTION("IMPORTRANGE(""https://docs.google.com/spreadsheets/d/1SX6NBoVAgQJ6U1MVXOaj8PK2l7WJ3RER9xtqwdhxkhw/edit?usp=sharing"",""อ่างทอง!J183"")"),0)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IFERROR(__xludf.DUMMYFUNCTION("IMPORTRANGE(""https://docs.google.com/spreadsheets/d/1SX6NBoVAgQJ6U1MVXOaj8PK2l7WJ3RER9xtqwdhxkhw/edit?usp=sharing"",""อ่างทอง!J184"")"),0)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IFERROR(__xludf.DUMMYFUNCTION("IMPORTRANGE(""https://docs.google.com/spreadsheets/d/1SX6NBoVAgQJ6U1MVXOaj8PK2l7WJ3RER9xtqwdhxkhw/edit?usp=sharing"",""อ่างทอง!I185"")"),0)</f>
        <v>0</v>
      </c>
      <c r="J270" s="317">
        <f ca="1">IFERROR(__xludf.DUMMYFUNCTION("IMPORTRANGE(""https://docs.google.com/spreadsheets/d/1SX6NBoVAgQJ6U1MVXOaj8PK2l7WJ3RER9xtqwdhxkhw/edit?usp=sharing"",""อ่างทอง!J185"")"),0)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IFERROR(__xludf.DUMMYFUNCTION("IMPORTRANGE(""https://docs.google.com/spreadsheets/d/1Yj_ptqi66GCucihVvJfMjLAmec39IyEx_6qawtMGysU/edit?usp=sharing"",""สบก!CK79"")"),0)</f>
        <v>0</v>
      </c>
      <c r="N275" s="169">
        <f ca="1">IFERROR(__xludf.DUMMYFUNCTION("IMPORTRANGE(""https://docs.google.com/spreadsheets/d/1Yj_ptqi66GCucihVvJfMjLAmec39IyEx_6qawtMGysU/edit?usp=sharing"",""สบก!CL79"")"),0)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IFERROR(__xludf.DUMMYFUNCTION("IMPORTRANGE(""https://docs.google.com/spreadsheets/d/1Yj_ptqi66GCucihVvJfMjLAmec39IyEx_6qawtMGysU/edit?usp=sharing"",""สบก!CG79"")"),0)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IFERROR(__xludf.DUMMYFUNCTION("IMPORTRANGE(""https://docs.google.com/spreadsheets/d/1Yj_ptqi66GCucihVvJfMjLAmec39IyEx_6qawtMGysU/edit?usp=sharing"",""สบก!CH79"")"),0)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IFERROR(__xludf.DUMMYFUNCTION("IMPORTRANGE(""https://docs.google.com/spreadsheets/d/1Yj_ptqi66GCucihVvJfMjLAmec39IyEx_6qawtMGysU/edit?usp=sharing"",""สบก!CI79"")"),0)</f>
        <v>0</v>
      </c>
      <c r="M279" s="49"/>
      <c r="N279" s="49">
        <f ca="1">IFERROR(__xludf.DUMMYFUNCTION("IMPORTRANGE(""https://docs.google.com/spreadsheets/d/1Yj_ptqi66GCucihVvJfMjLAmec39IyEx_6qawtMGysU/edit?usp=sharing"",""สบก!CM79"")"),0)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IFERROR(__xludf.DUMMYFUNCTION("IMPORTRANGE(""https://docs.google.com/spreadsheets/d/1SX6NBoVAgQJ6U1MVXOaj8PK2l7WJ3RER9xtqwdhxkhw/edit?usp=sharing"",""อ่างทอง!J191"")"),0)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IFERROR(__xludf.DUMMYFUNCTION("IMPORTRANGE(""https://docs.google.com/spreadsheets/d/1SX6NBoVAgQJ6U1MVXOaj8PK2l7WJ3RER9xtqwdhxkhw/edit?usp=sharing"",""อ่างทอง!J192"")"),0)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IFERROR(__xludf.DUMMYFUNCTION("IMPORTRANGE(""https://docs.google.com/spreadsheets/d/1SX6NBoVAgQJ6U1MVXOaj8PK2l7WJ3RER9xtqwdhxkhw/edit?usp=sharing"",""อ่างทอง!J193"")"),0)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IFERROR(__xludf.DUMMYFUNCTION("IMPORTRANGE(""https://docs.google.com/spreadsheets/d/1SX6NBoVAgQJ6U1MVXOaj8PK2l7WJ3RER9xtqwdhxkhw/edit?usp=sharing"",""อ่างทอง!J194"")"),0)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IFERROR(__xludf.DUMMYFUNCTION("IMPORTRANGE(""https://docs.google.com/spreadsheets/d/1SX6NBoVAgQJ6U1MVXOaj8PK2l7WJ3RER9xtqwdhxkhw/edit?usp=sharing"",""อ่างทอง!I195"")"),0)</f>
        <v>0</v>
      </c>
      <c r="J285" s="189">
        <f ca="1">IFERROR(__xludf.DUMMYFUNCTION("IMPORTRANGE(""https://docs.google.com/spreadsheets/d/1SX6NBoVAgQJ6U1MVXOaj8PK2l7WJ3RER9xtqwdhxkhw/edit?usp=sharing"",""อ่างทอง!J195"")"),0)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IFERROR(__xludf.DUMMYFUNCTION("IMPORTRANGE(""https://docs.google.com/spreadsheets/d/1SX6NBoVAgQJ6U1MVXOaj8PK2l7WJ3RER9xtqwdhxkhw/edit?usp=sharing"",""อ่างทอง!J196"")"),0)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IFERROR(__xludf.DUMMYFUNCTION("IMPORTRANGE(""https://docs.google.com/spreadsheets/d/1SX6NBoVAgQJ6U1MVXOaj8PK2l7WJ3RER9xtqwdhxkhw/edit?usp=sharing"",""อ่างทอง!J197"")"),0)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IFERROR(__xludf.DUMMYFUNCTION("IMPORTRANGE(""https://docs.google.com/spreadsheets/d/1SX6NBoVAgQJ6U1MVXOaj8PK2l7WJ3RER9xtqwdhxkhw/edit?usp=sharing"",""อ่างทอง!I199"")"),0)</f>
        <v>0</v>
      </c>
      <c r="J289" s="317">
        <f ca="1">IFERROR(__xludf.DUMMYFUNCTION("IMPORTRANGE(""https://docs.google.com/spreadsheets/d/1SX6NBoVAgQJ6U1MVXOaj8PK2l7WJ3RER9xtqwdhxkhw/edit?usp=sharing"",""อ่างทอง!J199"")"),0)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IFERROR(__xludf.DUMMYFUNCTION("IMPORTRANGE(""https://docs.google.com/spreadsheets/d/1Yj_ptqi66GCucihVvJfMjLAmec39IyEx_6qawtMGysU/edit?usp=sharing"",""สบก!CT79"")"),0)</f>
        <v>0</v>
      </c>
      <c r="N294" s="169">
        <f ca="1">IFERROR(__xludf.DUMMYFUNCTION("IMPORTRANGE(""https://docs.google.com/spreadsheets/d/1Yj_ptqi66GCucihVvJfMjLAmec39IyEx_6qawtMGysU/edit?usp=sharing"",""สบก!CU79"")"),0)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IFERROR(__xludf.DUMMYFUNCTION("IMPORTRANGE(""https://docs.google.com/spreadsheets/d/1Yj_ptqi66GCucihVvJfMjLAmec39IyEx_6qawtMGysU/edit?usp=sharing"",""สบก!CP79"")"),0)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IFERROR(__xludf.DUMMYFUNCTION("IMPORTRANGE(""https://docs.google.com/spreadsheets/d/1Yj_ptqi66GCucihVvJfMjLAmec39IyEx_6qawtMGysU/edit?usp=sharing"",""สบก!CQ79"")"),0)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IFERROR(__xludf.DUMMYFUNCTION("IMPORTRANGE(""https://docs.google.com/spreadsheets/d/1Yj_ptqi66GCucihVvJfMjLAmec39IyEx_6qawtMGysU/edit?usp=sharing"",""สบก!CR79"")"),0)</f>
        <v>0</v>
      </c>
      <c r="M298" s="49"/>
      <c r="N298" s="49">
        <f ca="1">IFERROR(__xludf.DUMMYFUNCTION("IMPORTRANGE(""https://docs.google.com/spreadsheets/d/1Yj_ptqi66GCucihVvJfMjLAmec39IyEx_6qawtMGysU/edit?usp=sharing"",""สบก!CV79"")"),0)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IFERROR(__xludf.DUMMYFUNCTION("IMPORTRANGE(""https://docs.google.com/spreadsheets/d/1SX6NBoVAgQJ6U1MVXOaj8PK2l7WJ3RER9xtqwdhxkhw/edit?usp=sharing"",""อ่างทอง!J205"")"),0)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IFERROR(__xludf.DUMMYFUNCTION("IMPORTRANGE(""https://docs.google.com/spreadsheets/d/1SX6NBoVAgQJ6U1MVXOaj8PK2l7WJ3RER9xtqwdhxkhw/edit?usp=sharing"",""อ่างทอง!J206"")"),0)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IFERROR(__xludf.DUMMYFUNCTION("IMPORTRANGE(""https://docs.google.com/spreadsheets/d/1SX6NBoVAgQJ6U1MVXOaj8PK2l7WJ3RER9xtqwdhxkhw/edit?usp=sharing"",""อ่างทอง!J207"")"),0)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IFERROR(__xludf.DUMMYFUNCTION("IMPORTRANGE(""https://docs.google.com/spreadsheets/d/1SX6NBoVAgQJ6U1MVXOaj8PK2l7WJ3RER9xtqwdhxkhw/edit?usp=sharing"",""อ่างทอง!J208"")"),0)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IFERROR(__xludf.DUMMYFUNCTION("IMPORTRANGE(""https://docs.google.com/spreadsheets/d/1SX6NBoVAgQJ6U1MVXOaj8PK2l7WJ3RER9xtqwdhxkhw/edit?usp=sharing"",""อ่างทอง!I209"")"),0)</f>
        <v>0</v>
      </c>
      <c r="J304" s="204">
        <f ca="1">IFERROR(__xludf.DUMMYFUNCTION("IMPORTRANGE(""https://docs.google.com/spreadsheets/d/1SX6NBoVAgQJ6U1MVXOaj8PK2l7WJ3RER9xtqwdhxkhw/edit?usp=sharing"",""อ่างทอง!J209"")"),0)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IFERROR(__xludf.DUMMYFUNCTION("IMPORTRANGE(""https://docs.google.com/spreadsheets/d/1SX6NBoVAgQJ6U1MVXOaj8PK2l7WJ3RER9xtqwdhxkhw/edit?usp=sharing"",""อ่างทอง!I211"")"),0)</f>
        <v>0</v>
      </c>
      <c r="J306" s="204">
        <f ca="1">IFERROR(__xludf.DUMMYFUNCTION("IMPORTRANGE(""https://docs.google.com/spreadsheets/d/1SX6NBoVAgQJ6U1MVXOaj8PK2l7WJ3RER9xtqwdhxkhw/edit?usp=sharing"",""อ่างทอง!J211"")"),0)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IFERROR(__xludf.DUMMYFUNCTION("IMPORTRANGE(""https://docs.google.com/spreadsheets/d/1SX6NBoVAgQJ6U1MVXOaj8PK2l7WJ3RER9xtqwdhxkhw/edit?usp=sharing"",""อ่างทอง!J212"")"),0)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IFERROR(__xludf.DUMMYFUNCTION("IMPORTRANGE(""https://docs.google.com/spreadsheets/d/1SX6NBoVAgQJ6U1MVXOaj8PK2l7WJ3RER9xtqwdhxkhw/edit?usp=sharing"",""อ่างทอง!J213"")"),0)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IFERROR(__xludf.DUMMYFUNCTION("IMPORTRANGE(""https://docs.google.com/spreadsheets/d/1SX6NBoVAgQJ6U1MVXOaj8PK2l7WJ3RER9xtqwdhxkhw/edit?usp=sharing"",""อ่างทอง!I214"")"),0)</f>
        <v>0</v>
      </c>
      <c r="J309" s="334">
        <f ca="1">IFERROR(__xludf.DUMMYFUNCTION("IMPORTRANGE(""https://docs.google.com/spreadsheets/d/1SX6NBoVAgQJ6U1MVXOaj8PK2l7WJ3RER9xtqwdhxkhw/edit?usp=sharing"",""อ่างทอง!J214"")"),0)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IFERROR(__xludf.DUMMYFUNCTION("IMPORTRANGE(""https://docs.google.com/spreadsheets/d/1Yj_ptqi66GCucihVvJfMjLAmec39IyEx_6qawtMGysU/edit?usp=sharing"",""สบก!DC79"")"),0)</f>
        <v>0</v>
      </c>
      <c r="N314" s="169">
        <f ca="1">IFERROR(__xludf.DUMMYFUNCTION("IMPORTRANGE(""https://docs.google.com/spreadsheets/d/1Yj_ptqi66GCucihVvJfMjLAmec39IyEx_6qawtMGysU/edit?usp=sharing"",""สบก!DD79"")"),0)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IFERROR(__xludf.DUMMYFUNCTION("IMPORTRANGE(""https://docs.google.com/spreadsheets/d/1Yj_ptqi66GCucihVvJfMjLAmec39IyEx_6qawtMGysU/edit?usp=sharing"",""สบก!CY79"")"),0)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IFERROR(__xludf.DUMMYFUNCTION("IMPORTRANGE(""https://docs.google.com/spreadsheets/d/1Yj_ptqi66GCucihVvJfMjLAmec39IyEx_6qawtMGysU/edit?usp=sharing"",""สบก!CZ79"")"),0)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IFERROR(__xludf.DUMMYFUNCTION("IMPORTRANGE(""https://docs.google.com/spreadsheets/d/1Yj_ptqi66GCucihVvJfMjLAmec39IyEx_6qawtMGysU/edit?usp=sharing"",""สบก!DA79"")"),0)</f>
        <v>0</v>
      </c>
      <c r="M318" s="49"/>
      <c r="N318" s="49">
        <f ca="1">IFERROR(__xludf.DUMMYFUNCTION("IMPORTRANGE(""https://docs.google.com/spreadsheets/d/1Yj_ptqi66GCucihVvJfMjLAmec39IyEx_6qawtMGysU/edit?usp=sharing"",""สบก!DE79"")"),0)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IFERROR(__xludf.DUMMYFUNCTION("IMPORTRANGE(""https://docs.google.com/spreadsheets/d/1SX6NBoVAgQJ6U1MVXOaj8PK2l7WJ3RER9xtqwdhxkhw/edit?usp=sharing"",""อ่างทอง!J220"")"),0)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IFERROR(__xludf.DUMMYFUNCTION("IMPORTRANGE(""https://docs.google.com/spreadsheets/d/1SX6NBoVAgQJ6U1MVXOaj8PK2l7WJ3RER9xtqwdhxkhw/edit?usp=sharing"",""อ่างทอง!J221"")"),0)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IFERROR(__xludf.DUMMYFUNCTION("IMPORTRANGE(""https://docs.google.com/spreadsheets/d/1SX6NBoVAgQJ6U1MVXOaj8PK2l7WJ3RER9xtqwdhxkhw/edit?usp=sharing"",""อ่างทอง!J222"")"),0)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IFERROR(__xludf.DUMMYFUNCTION("IMPORTRANGE(""https://docs.google.com/spreadsheets/d/1SX6NBoVAgQJ6U1MVXOaj8PK2l7WJ3RER9xtqwdhxkhw/edit?usp=sharing"",""อ่างทอง!J223"")"),0)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IFERROR(__xludf.DUMMYFUNCTION("IMPORTRANGE(""https://docs.google.com/spreadsheets/d/1SX6NBoVAgQJ6U1MVXOaj8PK2l7WJ3RER9xtqwdhxkhw/edit?usp=sharing"",""อ่างทอง!I224"")"),0)</f>
        <v>0</v>
      </c>
      <c r="J324" s="204">
        <f ca="1">IFERROR(__xludf.DUMMYFUNCTION("IMPORTRANGE(""https://docs.google.com/spreadsheets/d/1SX6NBoVAgQJ6U1MVXOaj8PK2l7WJ3RER9xtqwdhxkhw/edit?usp=sharing"",""อ่างทอง!J224"")"),0)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IFERROR(__xludf.DUMMYFUNCTION("IMPORTRANGE(""https://docs.google.com/spreadsheets/d/1SX6NBoVAgQJ6U1MVXOaj8PK2l7WJ3RER9xtqwdhxkhw/edit?usp=sharing"",""อ่างทอง!J225"")"),0)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IFERROR(__xludf.DUMMYFUNCTION("IMPORTRANGE(""https://docs.google.com/spreadsheets/d/1SX6NBoVAgQJ6U1MVXOaj8PK2l7WJ3RER9xtqwdhxkhw/edit?usp=sharing"",""อ่างทอง!J226"")"),0)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IFERROR(__xludf.DUMMYFUNCTION("IMPORTRANGE(""https://docs.google.com/spreadsheets/d/1SX6NBoVAgQJ6U1MVXOaj8PK2l7WJ3RER9xtqwdhxkhw/edit?usp=sharing"",""อ่างทอง!I228"")"),0)</f>
        <v>0</v>
      </c>
      <c r="J328" s="340">
        <f ca="1">IFERROR(__xludf.DUMMYFUNCTION("IMPORTRANGE(""https://docs.google.com/spreadsheets/d/1SX6NBoVAgQJ6U1MVXOaj8PK2l7WJ3RER9xtqwdhxkhw/edit?usp=sharing"",""อ่างทอง!J228"")"),0)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688910</v>
      </c>
      <c r="M329" s="152">
        <f t="shared" ca="1" si="98"/>
        <v>723910</v>
      </c>
      <c r="N329" s="152">
        <f t="shared" ca="1" si="98"/>
        <v>606957</v>
      </c>
      <c r="O329" s="151">
        <f t="shared" ref="O329:O331" ca="1" si="99">IF(L329&gt;0,N329*100/L329,0)</f>
        <v>88.103961330217302</v>
      </c>
      <c r="P329" s="151">
        <f t="shared" ref="P329:P331" ca="1" si="100">IF(M329&gt;0,N329*100/M329,0)</f>
        <v>83.844262408310428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688910</v>
      </c>
      <c r="M331" s="157">
        <f t="shared" ca="1" si="102"/>
        <v>723910</v>
      </c>
      <c r="N331" s="157">
        <f t="shared" ca="1" si="102"/>
        <v>606957</v>
      </c>
      <c r="O331" s="156">
        <f t="shared" ca="1" si="99"/>
        <v>88.103961330217302</v>
      </c>
      <c r="P331" s="156">
        <f t="shared" ca="1" si="100"/>
        <v>83.844262408310428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541910</v>
      </c>
      <c r="M333" s="168">
        <f ca="1">IFERROR(__xludf.DUMMYFUNCTION("IMPORTRANGE(""https://docs.google.com/spreadsheets/d/1Yj_ptqi66GCucihVvJfMjLAmec39IyEx_6qawtMGysU/edit?usp=sharing"",""สบก!DL79"")"),576910)</f>
        <v>576910</v>
      </c>
      <c r="N333" s="169">
        <f ca="1">IFERROR(__xludf.DUMMYFUNCTION("IMPORTRANGE(""https://docs.google.com/spreadsheets/d/1Yj_ptqi66GCucihVvJfMjLAmec39IyEx_6qawtMGysU/edit?usp=sharing"",""สบก!DM79"")"),467957)</f>
        <v>467957</v>
      </c>
      <c r="O333" s="169">
        <f ca="1">IF(L333&gt;0,N333*100/L333,0)</f>
        <v>86.353268993006225</v>
      </c>
      <c r="P333" s="169">
        <f ca="1">IF(M333&gt;0,N333*100/M333,0)</f>
        <v>81.114385259399214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IFERROR(__xludf.DUMMYFUNCTION("IMPORTRANGE(""https://docs.google.com/spreadsheets/d/1Yj_ptqi66GCucihVvJfMjLAmec39IyEx_6qawtMGysU/edit?usp=sharing"",""สบก!DH79"")"),493800)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IFERROR(__xludf.DUMMYFUNCTION("IMPORTRANGE(""https://docs.google.com/spreadsheets/d/1Yj_ptqi66GCucihVvJfMjLAmec39IyEx_6qawtMGysU/edit?usp=sharing"",""สบก!DI79"")"),48110)</f>
        <v>48110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IFERROR(__xludf.DUMMYFUNCTION("IMPORTRANGE(""https://docs.google.com/spreadsheets/d/1Yj_ptqi66GCucihVvJfMjLAmec39IyEx_6qawtMGysU/edit?usp=sharing"",""สบก!DJ79"")"),147000)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IFERROR(__xludf.DUMMYFUNCTION("IMPORTRANGE(""https://docs.google.com/spreadsheets/d/1Yj_ptqi66GCucihVvJfMjLAmec39IyEx_6qawtMGysU/edit?usp=sharing"",""สบก!DN79"")"),139000)</f>
        <v>139000</v>
      </c>
      <c r="O337" s="49">
        <f ca="1">IF(L337&gt;0,N337*100/L337,0)</f>
        <v>94.557823129251702</v>
      </c>
      <c r="P337" s="169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IFERROR(__xludf.DUMMYFUNCTION("IMPORTRANGE(""https://docs.google.com/spreadsheets/d/1SX6NBoVAgQJ6U1MVXOaj8PK2l7WJ3RER9xtqwdhxkhw/edit?usp=sharing"",""อ่างทอง!I234"")"),0)</f>
        <v>0</v>
      </c>
      <c r="J339" s="188">
        <f ca="1">IFERROR(__xludf.DUMMYFUNCTION("IMPORTRANGE(""https://docs.google.com/spreadsheets/d/1SX6NBoVAgQJ6U1MVXOaj8PK2l7WJ3RER9xtqwdhxkhw/edit?usp=sharing"",""อ่างทอง!J234"")"),0)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IFERROR(__xludf.DUMMYFUNCTION("IMPORTRANGE(""https://docs.google.com/spreadsheets/d/1SX6NBoVAgQJ6U1MVXOaj8PK2l7WJ3RER9xtqwdhxkhw/edit?usp=sharing"",""อ่างทอง!I235"")"),0)</f>
        <v>0</v>
      </c>
      <c r="J340" s="188">
        <f ca="1">IFERROR(__xludf.DUMMYFUNCTION("IMPORTRANGE(""https://docs.google.com/spreadsheets/d/1SX6NBoVAgQJ6U1MVXOaj8PK2l7WJ3RER9xtqwdhxkhw/edit?usp=sharing"",""อ่างทอง!J235"")"),0)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IFERROR(__xludf.DUMMYFUNCTION("IMPORTRANGE(""https://docs.google.com/spreadsheets/d/1SX6NBoVAgQJ6U1MVXOaj8PK2l7WJ3RER9xtqwdhxkhw/edit?usp=sharing"",""อ่างทอง!I236"")"),0)</f>
        <v>0</v>
      </c>
      <c r="J341" s="188">
        <f ca="1">IFERROR(__xludf.DUMMYFUNCTION("IMPORTRANGE(""https://docs.google.com/spreadsheets/d/1SX6NBoVAgQJ6U1MVXOaj8PK2l7WJ3RER9xtqwdhxkhw/edit?usp=sharing"",""อ่างทอง!J236"")"),0)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IFERROR(__xludf.DUMMYFUNCTION("IMPORTRANGE(""https://docs.google.com/spreadsheets/d/1SX6NBoVAgQJ6U1MVXOaj8PK2l7WJ3RER9xtqwdhxkhw/edit?usp=sharing"",""อ่างทอง!I237"")"),0)</f>
        <v>0</v>
      </c>
      <c r="J342" s="188">
        <f ca="1">IFERROR(__xludf.DUMMYFUNCTION("IMPORTRANGE(""https://docs.google.com/spreadsheets/d/1SX6NBoVAgQJ6U1MVXOaj8PK2l7WJ3RER9xtqwdhxkhw/edit?usp=sharing"",""อ่างทอง!J237"")"),0)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IFERROR(__xludf.DUMMYFUNCTION("IMPORTRANGE(""https://docs.google.com/spreadsheets/d/1SX6NBoVAgQJ6U1MVXOaj8PK2l7WJ3RER9xtqwdhxkhw/edit?usp=sharing"",""อ่างทอง!I238"")"),0)</f>
        <v>0</v>
      </c>
      <c r="J343" s="188">
        <f ca="1">IFERROR(__xludf.DUMMYFUNCTION("IMPORTRANGE(""https://docs.google.com/spreadsheets/d/1SX6NBoVAgQJ6U1MVXOaj8PK2l7WJ3RER9xtqwdhxkhw/edit?usp=sharing"",""อ่างทอง!J238"")"),0)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IFERROR(__xludf.DUMMYFUNCTION("IMPORTRANGE(""https://docs.google.com/spreadsheets/d/1SX6NBoVAgQJ6U1MVXOaj8PK2l7WJ3RER9xtqwdhxkhw/edit?usp=sharing"",""อ่างทอง!I239"")"),0)</f>
        <v>0</v>
      </c>
      <c r="J344" s="188">
        <f ca="1">IFERROR(__xludf.DUMMYFUNCTION("IMPORTRANGE(""https://docs.google.com/spreadsheets/d/1SX6NBoVAgQJ6U1MVXOaj8PK2l7WJ3RER9xtqwdhxkhw/edit?usp=sharing"",""อ่างทอง!J239"")"),0)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IFERROR(__xludf.DUMMYFUNCTION("IMPORTRANGE(""https://docs.google.com/spreadsheets/d/1SX6NBoVAgQJ6U1MVXOaj8PK2l7WJ3RER9xtqwdhxkhw/edit?usp=sharing"",""อ่างทอง!I240"")"),0)</f>
        <v>0</v>
      </c>
      <c r="J345" s="188">
        <f ca="1">IFERROR(__xludf.DUMMYFUNCTION("IMPORTRANGE(""https://docs.google.com/spreadsheets/d/1SX6NBoVAgQJ6U1MVXOaj8PK2l7WJ3RER9xtqwdhxkhw/edit?usp=sharing"",""อ่างทอง!J240"")"),0)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IFERROR(__xludf.DUMMYFUNCTION("IMPORTRANGE(""https://docs.google.com/spreadsheets/d/1SX6NBoVAgQJ6U1MVXOaj8PK2l7WJ3RER9xtqwdhxkhw/edit?usp=sharing"",""อ่างทอง!I241"")"),0)</f>
        <v>0</v>
      </c>
      <c r="J346" s="188">
        <f ca="1">IFERROR(__xludf.DUMMYFUNCTION("IMPORTRANGE(""https://docs.google.com/spreadsheets/d/1SX6NBoVAgQJ6U1MVXOaj8PK2l7WJ3RER9xtqwdhxkhw/edit?usp=sharing"",""อ่างทอง!J241"")"),0)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IFERROR(__xludf.DUMMYFUNCTION("IMPORTRANGE(""https://docs.google.com/spreadsheets/d/1SX6NBoVAgQJ6U1MVXOaj8PK2l7WJ3RER9xtqwdhxkhw/edit?usp=sharing"",""อ่างทอง!L242"")"),329940)</f>
        <v>329940</v>
      </c>
      <c r="M347" s="358"/>
      <c r="N347" s="358">
        <f ca="1">IFERROR(__xludf.DUMMYFUNCTION("IMPORTRANGE(""https://docs.google.com/spreadsheets/d/1SX6NBoVAgQJ6U1MVXOaj8PK2l7WJ3RER9xtqwdhxkhw/edit?usp=sharing"",""อ่างทอง!M242"")"),134062)</f>
        <v>134062</v>
      </c>
      <c r="O347" s="358">
        <f ca="1">+IF(L347&gt;0,N347*100/L347,0)</f>
        <v>40.63223616415106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IFERROR(__xludf.DUMMYFUNCTION("IMPORTRANGE(""https://docs.google.com/spreadsheets/d/1SX6NBoVAgQJ6U1MVXOaj8PK2l7WJ3RER9xtqwdhxkhw/edit?usp=sharing"",""อ่างทอง!I244"")"),30)</f>
        <v>30</v>
      </c>
      <c r="J349" s="371">
        <f ca="1">IFERROR(__xludf.DUMMYFUNCTION("IMPORTRANGE(""https://docs.google.com/spreadsheets/d/1SX6NBoVAgQJ6U1MVXOaj8PK2l7WJ3RER9xtqwdhxkhw/edit?usp=sharing"",""อ่างทอง!J244"")"),0)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IFERROR(__xludf.DUMMYFUNCTION("IMPORTRANGE(""https://docs.google.com/spreadsheets/d/1SX6NBoVAgQJ6U1MVXOaj8PK2l7WJ3RER9xtqwdhxkhw/edit?usp=sharing"",""อ่างทอง!L244"")"),69720)</f>
        <v>69720</v>
      </c>
      <c r="M349" s="373"/>
      <c r="N349" s="373">
        <f ca="1">IFERROR(__xludf.DUMMYFUNCTION("IMPORTRANGE(""https://docs.google.com/spreadsheets/d/1SX6NBoVAgQJ6U1MVXOaj8PK2l7WJ3RER9xtqwdhxkhw/edit?usp=sharing"",""อ่างทอง!M244"")"),30280)</f>
        <v>30280</v>
      </c>
      <c r="O349" s="373">
        <f ca="1">+IF(L349&gt;0,N349*100/L349,0)</f>
        <v>43.430866322432585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IFERROR(__xludf.DUMMYFUNCTION("IMPORTRANGE(""https://docs.google.com/spreadsheets/d/1SX6NBoVAgQJ6U1MVXOaj8PK2l7WJ3RER9xtqwdhxkhw/edit?usp=sharing"",""อ่างทอง!I245"")"),10)</f>
        <v>10</v>
      </c>
      <c r="J350" s="371">
        <f ca="1">IFERROR(__xludf.DUMMYFUNCTION("IMPORTRANGE(""https://docs.google.com/spreadsheets/d/1SX6NBoVAgQJ6U1MVXOaj8PK2l7WJ3RER9xtqwdhxkhw/edit?usp=sharing"",""อ่างทอง!J245"")"),10)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IFERROR(__xludf.DUMMYFUNCTION("IMPORTRANGE(""https://docs.google.com/spreadsheets/d/1SX6NBoVAgQJ6U1MVXOaj8PK2l7WJ3RER9xtqwdhxkhw/edit?usp=sharing"",""อ่างทอง!L246"")"),0)</f>
        <v>0</v>
      </c>
      <c r="M351" s="164"/>
      <c r="N351" s="164">
        <f ca="1">IFERROR(__xludf.DUMMYFUNCTION("IMPORTRANGE(""https://docs.google.com/spreadsheets/d/1SX6NBoVAgQJ6U1MVXOaj8PK2l7WJ3RER9xtqwdhxkhw/edit?usp=sharing"",""อ่างทอง!M246"")"),0)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IFERROR(__xludf.DUMMYFUNCTION("IMPORTRANGE(""https://docs.google.com/spreadsheets/d/1SX6NBoVAgQJ6U1MVXOaj8PK2l7WJ3RER9xtqwdhxkhw/edit?usp=sharing"",""อ่างทอง!L247"")"),69720)</f>
        <v>69720</v>
      </c>
      <c r="M352" s="165"/>
      <c r="N352" s="164">
        <f ca="1">IFERROR(__xludf.DUMMYFUNCTION("IMPORTRANGE(""https://docs.google.com/spreadsheets/d/1SX6NBoVAgQJ6U1MVXOaj8PK2l7WJ3RER9xtqwdhxkhw/edit?usp=sharing"",""อ่างทอง!M247"")"),30280)</f>
        <v>30280</v>
      </c>
      <c r="O352" s="165">
        <f t="shared" ca="1" si="105"/>
        <v>43.430866322432585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IFERROR(__xludf.DUMMYFUNCTION("IMPORTRANGE(""https://docs.google.com/spreadsheets/d/1SX6NBoVAgQJ6U1MVXOaj8PK2l7WJ3RER9xtqwdhxkhw/edit?usp=sharing"",""อ่างทอง!L248"")"),0)</f>
        <v>0</v>
      </c>
      <c r="M353" s="169"/>
      <c r="N353" s="169">
        <f ca="1">IFERROR(__xludf.DUMMYFUNCTION("IMPORTRANGE(""https://docs.google.com/spreadsheets/d/1SX6NBoVAgQJ6U1MVXOaj8PK2l7WJ3RER9xtqwdhxkhw/edit?usp=sharing"",""อ่างทอง!M248"")"),0)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IFERROR(__xludf.DUMMYFUNCTION("IMPORTRANGE(""https://docs.google.com/spreadsheets/d/1SX6NBoVAgQJ6U1MVXOaj8PK2l7WJ3RER9xtqwdhxkhw/edit?usp=sharing"",""อ่างทอง!L249"")"),69720)</f>
        <v>69720</v>
      </c>
      <c r="M354" s="169"/>
      <c r="N354" s="168">
        <f ca="1">IFERROR(__xludf.DUMMYFUNCTION("IMPORTRANGE(""https://docs.google.com/spreadsheets/d/1SX6NBoVAgQJ6U1MVXOaj8PK2l7WJ3RER9xtqwdhxkhw/edit?usp=sharing"",""อ่างทอง!M249"")"),30280)</f>
        <v>30280</v>
      </c>
      <c r="O354" s="169">
        <f t="shared" ca="1" si="105"/>
        <v>43.430866322432585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IFERROR(__xludf.DUMMYFUNCTION("IMPORTRANGE(""https://docs.google.com/spreadsheets/d/1SX6NBoVAgQJ6U1MVXOaj8PK2l7WJ3RER9xtqwdhxkhw/edit?usp=sharing"",""อ่างทอง!M250"")"),12280)</f>
        <v>12280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IFERROR(__xludf.DUMMYFUNCTION("IMPORTRANGE(""https://docs.google.com/spreadsheets/d/1SX6NBoVAgQJ6U1MVXOaj8PK2l7WJ3RER9xtqwdhxkhw/edit?usp=sharing"",""อ่างทอง!M251"")"),18000)</f>
        <v>18000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IFERROR(__xludf.DUMMYFUNCTION("IMPORTRANGE(""https://docs.google.com/spreadsheets/d/1SX6NBoVAgQJ6U1MVXOaj8PK2l7WJ3RER9xtqwdhxkhw/edit?usp=sharing"",""อ่างทอง!M252"")"),0)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IFERROR(__xludf.DUMMYFUNCTION("IMPORTRANGE(""https://docs.google.com/spreadsheets/d/1SX6NBoVAgQJ6U1MVXOaj8PK2l7WJ3RER9xtqwdhxkhw/edit?usp=sharing"",""อ่างทอง!M253"")"),0)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IFERROR(__xludf.DUMMYFUNCTION("IMPORTRANGE(""https://docs.google.com/spreadsheets/d/1SX6NBoVAgQJ6U1MVXOaj8PK2l7WJ3RER9xtqwdhxkhw/edit?usp=sharing"",""อ่างทอง!J255"")"),0)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IFERROR(__xludf.DUMMYFUNCTION("IMPORTRANGE(""https://docs.google.com/spreadsheets/d/1SX6NBoVAgQJ6U1MVXOaj8PK2l7WJ3RER9xtqwdhxkhw/edit?usp=sharing"",""อ่างทอง!J256"")"),1)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IFERROR(__xludf.DUMMYFUNCTION("IMPORTRANGE(""https://docs.google.com/spreadsheets/d/1SX6NBoVAgQJ6U1MVXOaj8PK2l7WJ3RER9xtqwdhxkhw/edit?usp=sharing"",""อ่างทอง!J257"")"),1)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IFERROR(__xludf.DUMMYFUNCTION("IMPORTRANGE(""https://docs.google.com/spreadsheets/d/1SX6NBoVAgQJ6U1MVXOaj8PK2l7WJ3RER9xtqwdhxkhw/edit?usp=sharing"",""อ่างทอง!J258"")"),1)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IFERROR(__xludf.DUMMYFUNCTION("IMPORTRANGE(""https://docs.google.com/spreadsheets/d/1SX6NBoVAgQJ6U1MVXOaj8PK2l7WJ3RER9xtqwdhxkhw/edit?usp=sharing"",""อ่างทอง!J166"")"),0)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IFERROR(__xludf.DUMMYFUNCTION("IMPORTRANGE(""https://docs.google.com/spreadsheets/d/1SX6NBoVAgQJ6U1MVXOaj8PK2l7WJ3RER9xtqwdhxkhw/edit?usp=sharing"",""อ่างทอง!J166"")"),0)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IFERROR(__xludf.DUMMYFUNCTION("IMPORTRANGE(""https://docs.google.com/spreadsheets/d/1SX6NBoVAgQJ6U1MVXOaj8PK2l7WJ3RER9xtqwdhxkhw/edit?usp=sharing"",""อ่างทอง!J166"")"),0)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IFERROR(__xludf.DUMMYFUNCTION("IMPORTRANGE(""https://docs.google.com/spreadsheets/d/1SX6NBoVAgQJ6U1MVXOaj8PK2l7WJ3RER9xtqwdhxkhw/edit?usp=sharing"",""อ่างทอง!J166"")"),0)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IFERROR(__xludf.DUMMYFUNCTION("IMPORTRANGE(""https://docs.google.com/spreadsheets/d/1SX6NBoVAgQJ6U1MVXOaj8PK2l7WJ3RER9xtqwdhxkhw/edit?usp=sharing"",""อ่างทอง!I263"")"),10)</f>
        <v>10</v>
      </c>
      <c r="J368" s="188">
        <f ca="1">IFERROR(__xludf.DUMMYFUNCTION("IMPORTRANGE(""https://docs.google.com/spreadsheets/d/1SX6NBoVAgQJ6U1MVXOaj8PK2l7WJ3RER9xtqwdhxkhw/edit?usp=sharing"",""อ่างทอง!J263"")"),10)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IFERROR(__xludf.DUMMYFUNCTION("IMPORTRANGE(""https://docs.google.com/spreadsheets/d/1SX6NBoVAgQJ6U1MVXOaj8PK2l7WJ3RER9xtqwdhxkhw/edit?usp=sharing"",""อ่างทอง!I164"")"),0)</f>
        <v>0</v>
      </c>
      <c r="J369" s="204">
        <f ca="1">IFERROR(__xludf.DUMMYFUNCTION("IMPORTRANGE(""https://docs.google.com/spreadsheets/d/1SX6NBoVAgQJ6U1MVXOaj8PK2l7WJ3RER9xtqwdhxkhw/edit?usp=sharing"",""อ่างทอง!J164"")"),0)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IFERROR(__xludf.DUMMYFUNCTION("IMPORTRANGE(""https://docs.google.com/spreadsheets/d/1SX6NBoVAgQJ6U1MVXOaj8PK2l7WJ3RER9xtqwdhxkhw/edit?usp=sharing"",""อ่างทอง!I265"")"),10)</f>
        <v>10</v>
      </c>
      <c r="J370" s="204">
        <f ca="1">IFERROR(__xludf.DUMMYFUNCTION("IMPORTRANGE(""https://docs.google.com/spreadsheets/d/1SX6NBoVAgQJ6U1MVXOaj8PK2l7WJ3RER9xtqwdhxkhw/edit?usp=sharing"",""อ่างทอง!J265"")"),10)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IFERROR(__xludf.DUMMYFUNCTION("IMPORTRANGE(""https://docs.google.com/spreadsheets/d/1SX6NBoVAgQJ6U1MVXOaj8PK2l7WJ3RER9xtqwdhxkhw/edit?usp=sharing"",""อ่างทอง!I164"")"),0)</f>
        <v>0</v>
      </c>
      <c r="J371" s="189">
        <f ca="1">IFERROR(__xludf.DUMMYFUNCTION("IMPORTRANGE(""https://docs.google.com/spreadsheets/d/1SX6NBoVAgQJ6U1MVXOaj8PK2l7WJ3RER9xtqwdhxkhw/edit?usp=sharing"",""อ่างทอง!J164"")"),0)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IFERROR(__xludf.DUMMYFUNCTION("IMPORTRANGE(""https://docs.google.com/spreadsheets/d/1SX6NBoVAgQJ6U1MVXOaj8PK2l7WJ3RER9xtqwdhxkhw/edit?usp=sharing"",""อ่างทอง!I267"")"),10)</f>
        <v>10</v>
      </c>
      <c r="J372" s="189">
        <f ca="1">IFERROR(__xludf.DUMMYFUNCTION("IMPORTRANGE(""https://docs.google.com/spreadsheets/d/1SX6NBoVAgQJ6U1MVXOaj8PK2l7WJ3RER9xtqwdhxkhw/edit?usp=sharing"",""อ่างทอง!J267"")"),0)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IFERROR(__xludf.DUMMYFUNCTION("IMPORTRANGE(""https://docs.google.com/spreadsheets/d/1SX6NBoVAgQJ6U1MVXOaj8PK2l7WJ3RER9xtqwdhxkhw/edit?usp=sharing"",""อ่างทอง!I164"")"),0)</f>
        <v>0</v>
      </c>
      <c r="J373" s="204">
        <f ca="1">IFERROR(__xludf.DUMMYFUNCTION("IMPORTRANGE(""https://docs.google.com/spreadsheets/d/1SX6NBoVAgQJ6U1MVXOaj8PK2l7WJ3RER9xtqwdhxkhw/edit?usp=sharing"",""อ่างทอง!J164"")"),0)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IFERROR(__xludf.DUMMYFUNCTION("IMPORTRANGE(""https://docs.google.com/spreadsheets/d/1SX6NBoVAgQJ6U1MVXOaj8PK2l7WJ3RER9xtqwdhxkhw/edit?usp=sharing"",""อ่างทอง!I164"")"),0)</f>
        <v>0</v>
      </c>
      <c r="J374" s="188">
        <f ca="1">IFERROR(__xludf.DUMMYFUNCTION("IMPORTRANGE(""https://docs.google.com/spreadsheets/d/1SX6NBoVAgQJ6U1MVXOaj8PK2l7WJ3RER9xtqwdhxkhw/edit?usp=sharing"",""อ่างทอง!J164"")"),0)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IFERROR(__xludf.DUMMYFUNCTION("IMPORTRANGE(""https://docs.google.com/spreadsheets/d/1SX6NBoVAgQJ6U1MVXOaj8PK2l7WJ3RER9xtqwdhxkhw/edit?usp=sharing"",""อ่างทอง!I270"")"),30)</f>
        <v>30</v>
      </c>
      <c r="J375" s="188">
        <f ca="1">IFERROR(__xludf.DUMMYFUNCTION("IMPORTRANGE(""https://docs.google.com/spreadsheets/d/1SX6NBoVAgQJ6U1MVXOaj8PK2l7WJ3RER9xtqwdhxkhw/edit?usp=sharing"",""อ่างทอง!J270"")"),0)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IFERROR(__xludf.DUMMYFUNCTION("IMPORTRANGE(""https://docs.google.com/spreadsheets/d/1SX6NBoVAgQJ6U1MVXOaj8PK2l7WJ3RER9xtqwdhxkhw/edit?usp=sharing"",""อ่างทอง!I271"")"),30)</f>
        <v>30</v>
      </c>
      <c r="J376" s="189">
        <f ca="1">IFERROR(__xludf.DUMMYFUNCTION("IMPORTRANGE(""https://docs.google.com/spreadsheets/d/1SX6NBoVAgQJ6U1MVXOaj8PK2l7WJ3RER9xtqwdhxkhw/edit?usp=sharing"",""อ่างทอง!J271"")"),0)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IFERROR(__xludf.DUMMYFUNCTION("IMPORTRANGE(""https://docs.google.com/spreadsheets/d/1SX6NBoVAgQJ6U1MVXOaj8PK2l7WJ3RER9xtqwdhxkhw/edit?usp=sharing"",""อ่างทอง!I272"")"),0)</f>
        <v>0</v>
      </c>
      <c r="J377" s="204">
        <f ca="1">IFERROR(__xludf.DUMMYFUNCTION("IMPORTRANGE(""https://docs.google.com/spreadsheets/d/1SX6NBoVAgQJ6U1MVXOaj8PK2l7WJ3RER9xtqwdhxkhw/edit?usp=sharing"",""อ่างทอง!J272"")"),0)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IFERROR(__xludf.DUMMYFUNCTION("IMPORTRANGE(""https://docs.google.com/spreadsheets/d/1SX6NBoVAgQJ6U1MVXOaj8PK2l7WJ3RER9xtqwdhxkhw/edit?usp=sharing"",""อ่างทอง!J273"")"),0)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IFERROR(__xludf.DUMMYFUNCTION("IMPORTRANGE(""https://docs.google.com/spreadsheets/d/1SX6NBoVAgQJ6U1MVXOaj8PK2l7WJ3RER9xtqwdhxkhw/edit?usp=sharing"",""อ่างทอง!J274"")"),0)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IFERROR(__xludf.DUMMYFUNCTION("IMPORTRANGE(""https://docs.google.com/spreadsheets/d/1SX6NBoVAgQJ6U1MVXOaj8PK2l7WJ3RER9xtqwdhxkhw/edit?usp=sharing"",""อ่างทอง!I275"")"),0)</f>
        <v>0</v>
      </c>
      <c r="J380" s="371">
        <f ca="1">IFERROR(__xludf.DUMMYFUNCTION("IMPORTRANGE(""https://docs.google.com/spreadsheets/d/1SX6NBoVAgQJ6U1MVXOaj8PK2l7WJ3RER9xtqwdhxkhw/edit?usp=sharing"",""อ่างทอง!J275"")"),0)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IFERROR(__xludf.DUMMYFUNCTION("IMPORTRANGE(""https://docs.google.com/spreadsheets/d/1SX6NBoVAgQJ6U1MVXOaj8PK2l7WJ3RER9xtqwdhxkhw/edit?usp=sharing"",""อ่างทอง!L275"")"),0)</f>
        <v>0</v>
      </c>
      <c r="M380" s="373"/>
      <c r="N380" s="373">
        <f ca="1">IFERROR(__xludf.DUMMYFUNCTION("IMPORTRANGE(""https://docs.google.com/spreadsheets/d/1SX6NBoVAgQJ6U1MVXOaj8PK2l7WJ3RER9xtqwdhxkhw/edit?usp=sharing"",""อ่างทอง!M275"")"),0)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IFERROR(__xludf.DUMMYFUNCTION("IMPORTRANGE(""https://docs.google.com/spreadsheets/d/1SX6NBoVAgQJ6U1MVXOaj8PK2l7WJ3RER9xtqwdhxkhw/edit?usp=sharing"",""อ่างทอง!I276"")"),0)</f>
        <v>0</v>
      </c>
      <c r="J381" s="371">
        <f ca="1">IFERROR(__xludf.DUMMYFUNCTION("IMPORTRANGE(""https://docs.google.com/spreadsheets/d/1SX6NBoVAgQJ6U1MVXOaj8PK2l7WJ3RER9xtqwdhxkhw/edit?usp=sharing"",""อ่างทอง!J276"")"),0)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IFERROR(__xludf.DUMMYFUNCTION("IMPORTRANGE(""https://docs.google.com/spreadsheets/d/1SX6NBoVAgQJ6U1MVXOaj8PK2l7WJ3RER9xtqwdhxkhw/edit?usp=sharing"",""อ่างทอง!L277"")"),0)</f>
        <v>0</v>
      </c>
      <c r="M382" s="164"/>
      <c r="N382" s="164">
        <f ca="1">IFERROR(__xludf.DUMMYFUNCTION("IMPORTRANGE(""https://docs.google.com/spreadsheets/d/1SX6NBoVAgQJ6U1MVXOaj8PK2l7WJ3RER9xtqwdhxkhw/edit?usp=sharing"",""อ่างทอง!M277"")"),0)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IFERROR(__xludf.DUMMYFUNCTION("IMPORTRANGE(""https://docs.google.com/spreadsheets/d/1SX6NBoVAgQJ6U1MVXOaj8PK2l7WJ3RER9xtqwdhxkhw/edit?usp=sharing"",""อ่างทอง!L278"")"),0)</f>
        <v>0</v>
      </c>
      <c r="M383" s="165"/>
      <c r="N383" s="165">
        <f ca="1">IFERROR(__xludf.DUMMYFUNCTION("IMPORTRANGE(""https://docs.google.com/spreadsheets/d/1SX6NBoVAgQJ6U1MVXOaj8PK2l7WJ3RER9xtqwdhxkhw/edit?usp=sharing"",""อ่างทอง!M278"")"),0)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IFERROR(__xludf.DUMMYFUNCTION("IMPORTRANGE(""https://docs.google.com/spreadsheets/d/1SX6NBoVAgQJ6U1MVXOaj8PK2l7WJ3RER9xtqwdhxkhw/edit?usp=sharing"",""อ่างทอง!L279"")"),0)</f>
        <v>0</v>
      </c>
      <c r="M384" s="169"/>
      <c r="N384" s="169">
        <f ca="1">IFERROR(__xludf.DUMMYFUNCTION("IMPORTRANGE(""https://docs.google.com/spreadsheets/d/1SX6NBoVAgQJ6U1MVXOaj8PK2l7WJ3RER9xtqwdhxkhw/edit?usp=sharing"",""อ่างทอง!M279"")"),0)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IFERROR(__xludf.DUMMYFUNCTION("IMPORTRANGE(""https://docs.google.com/spreadsheets/d/1SX6NBoVAgQJ6U1MVXOaj8PK2l7WJ3RER9xtqwdhxkhw/edit?usp=sharing"",""อ่างทอง!L280"")"),0)</f>
        <v>0</v>
      </c>
      <c r="M385" s="169"/>
      <c r="N385" s="168">
        <f ca="1">IFERROR(__xludf.DUMMYFUNCTION("IMPORTRANGE(""https://docs.google.com/spreadsheets/d/1SX6NBoVAgQJ6U1MVXOaj8PK2l7WJ3RER9xtqwdhxkhw/edit?usp=sharing"",""อ่างทอง!M280"")"),0)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IFERROR(__xludf.DUMMYFUNCTION("IMPORTRANGE(""https://docs.google.com/spreadsheets/d/1SX6NBoVAgQJ6U1MVXOaj8PK2l7WJ3RER9xtqwdhxkhw/edit?usp=sharing"",""อ่างทอง!M281"")"),0)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IFERROR(__xludf.DUMMYFUNCTION("IMPORTRANGE(""https://docs.google.com/spreadsheets/d/1SX6NBoVAgQJ6U1MVXOaj8PK2l7WJ3RER9xtqwdhxkhw/edit?usp=sharing"",""อ่างทอง!M282"")"),0)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IFERROR(__xludf.DUMMYFUNCTION("IMPORTRANGE(""https://docs.google.com/spreadsheets/d/1SX6NBoVAgQJ6U1MVXOaj8PK2l7WJ3RER9xtqwdhxkhw/edit?usp=sharing"",""อ่างทอง!M283"")"),0)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IFERROR(__xludf.DUMMYFUNCTION("IMPORTRANGE(""https://docs.google.com/spreadsheets/d/1SX6NBoVAgQJ6U1MVXOaj8PK2l7WJ3RER9xtqwdhxkhw/edit?usp=sharing"",""อ่างทอง!M284"")"),0)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IFERROR(__xludf.DUMMYFUNCTION("IMPORTRANGE(""https://docs.google.com/spreadsheets/d/1SX6NBoVAgQJ6U1MVXOaj8PK2l7WJ3RER9xtqwdhxkhw/edit?usp=sharing"",""อ่างทอง!J286"")"),0)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IFERROR(__xludf.DUMMYFUNCTION("IMPORTRANGE(""https://docs.google.com/spreadsheets/d/1SX6NBoVAgQJ6U1MVXOaj8PK2l7WJ3RER9xtqwdhxkhw/edit?usp=sharing"",""อ่างทอง!J287"")"),0)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IFERROR(__xludf.DUMMYFUNCTION("IMPORTRANGE(""https://docs.google.com/spreadsheets/d/1SX6NBoVAgQJ6U1MVXOaj8PK2l7WJ3RER9xtqwdhxkhw/edit?usp=sharing"",""อ่างทอง!J288"")"),0)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IFERROR(__xludf.DUMMYFUNCTION("IMPORTRANGE(""https://docs.google.com/spreadsheets/d/1SX6NBoVAgQJ6U1MVXOaj8PK2l7WJ3RER9xtqwdhxkhw/edit?usp=sharing"",""อ่างทอง!J289"")"),0)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IFERROR(__xludf.DUMMYFUNCTION("IMPORTRANGE(""https://docs.google.com/spreadsheets/d/1SX6NBoVAgQJ6U1MVXOaj8PK2l7WJ3RER9xtqwdhxkhw/edit?usp=sharing"",""อ่างทอง!I291"")"),0)</f>
        <v>0</v>
      </c>
      <c r="J396" s="198">
        <f ca="1">IFERROR(__xludf.DUMMYFUNCTION("IMPORTRANGE(""https://docs.google.com/spreadsheets/d/1SX6NBoVAgQJ6U1MVXOaj8PK2l7WJ3RER9xtqwdhxkhw/edit?usp=sharing"",""อ่างทอง!J291"")"),0)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IFERROR(__xludf.DUMMYFUNCTION("IMPORTRANGE(""https://docs.google.com/spreadsheets/d/1SX6NBoVAgQJ6U1MVXOaj8PK2l7WJ3RER9xtqwdhxkhw/edit?usp=sharing"",""อ่างทอง!I292"")"),0)</f>
        <v>0</v>
      </c>
      <c r="J397" s="198">
        <f ca="1">IFERROR(__xludf.DUMMYFUNCTION("IMPORTRANGE(""https://docs.google.com/spreadsheets/d/1SX6NBoVAgQJ6U1MVXOaj8PK2l7WJ3RER9xtqwdhxkhw/edit?usp=sharing"",""อ่างทอง!J292"")"),0)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IFERROR(__xludf.DUMMYFUNCTION("IMPORTRANGE(""https://docs.google.com/spreadsheets/d/1SX6NBoVAgQJ6U1MVXOaj8PK2l7WJ3RER9xtqwdhxkhw/edit?usp=sharing"",""อ่างทอง!I293"")"),0)</f>
        <v>0</v>
      </c>
      <c r="J398" s="198">
        <f ca="1">IFERROR(__xludf.DUMMYFUNCTION("IMPORTRANGE(""https://docs.google.com/spreadsheets/d/1SX6NBoVAgQJ6U1MVXOaj8PK2l7WJ3RER9xtqwdhxkhw/edit?usp=sharing"",""อ่างทอง!J293"")"),0)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IFERROR(__xludf.DUMMYFUNCTION("IMPORTRANGE(""https://docs.google.com/spreadsheets/d/1SX6NBoVAgQJ6U1MVXOaj8PK2l7WJ3RER9xtqwdhxkhw/edit?usp=sharing"",""อ่างทอง!J294"")"),0)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IFERROR(__xludf.DUMMYFUNCTION("IMPORTRANGE(""https://docs.google.com/spreadsheets/d/1SX6NBoVAgQJ6U1MVXOaj8PK2l7WJ3RER9xtqwdhxkhw/edit?usp=sharing"",""อ่างทอง!J295"")"),0)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IFERROR(__xludf.DUMMYFUNCTION("IMPORTRANGE(""https://docs.google.com/spreadsheets/d/1SX6NBoVAgQJ6U1MVXOaj8PK2l7WJ3RER9xtqwdhxkhw/edit?usp=sharing"",""อ่างทอง!I296"")"),30)</f>
        <v>30</v>
      </c>
      <c r="J401" s="371">
        <f ca="1">IFERROR(__xludf.DUMMYFUNCTION("IMPORTRANGE(""https://docs.google.com/spreadsheets/d/1SX6NBoVAgQJ6U1MVXOaj8PK2l7WJ3RER9xtqwdhxkhw/edit?usp=sharing"",""อ่างทอง!J296"")"),30)</f>
        <v>30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IFERROR(__xludf.DUMMYFUNCTION("IMPORTRANGE(""https://docs.google.com/spreadsheets/d/1SX6NBoVAgQJ6U1MVXOaj8PK2l7WJ3RER9xtqwdhxkhw/edit?usp=sharing"",""อ่างทอง!L296"")"),31440)</f>
        <v>31440</v>
      </c>
      <c r="M401" s="373"/>
      <c r="N401" s="373">
        <f ca="1">IFERROR(__xludf.DUMMYFUNCTION("IMPORTRANGE(""https://docs.google.com/spreadsheets/d/1SX6NBoVAgQJ6U1MVXOaj8PK2l7WJ3RER9xtqwdhxkhw/edit?usp=sharing"",""อ่างทอง!M296"")"),31440)</f>
        <v>31440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IFERROR(__xludf.DUMMYFUNCTION("IMPORTRANGE(""https://docs.google.com/spreadsheets/d/1SX6NBoVAgQJ6U1MVXOaj8PK2l7WJ3RER9xtqwdhxkhw/edit?usp=sharing"",""อ่างทอง!I297"")"),10)</f>
        <v>10</v>
      </c>
      <c r="J402" s="371">
        <f ca="1">IFERROR(__xludf.DUMMYFUNCTION("IMPORTRANGE(""https://docs.google.com/spreadsheets/d/1SX6NBoVAgQJ6U1MVXOaj8PK2l7WJ3RER9xtqwdhxkhw/edit?usp=sharing"",""อ่างทอง!J297"")"),10)</f>
        <v>10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IFERROR(__xludf.DUMMYFUNCTION("IMPORTRANGE(""https://docs.google.com/spreadsheets/d/1SX6NBoVAgQJ6U1MVXOaj8PK2l7WJ3RER9xtqwdhxkhw/edit?usp=sharing"",""อ่างทอง!L298"")"),0)</f>
        <v>0</v>
      </c>
      <c r="M403" s="164"/>
      <c r="N403" s="169">
        <f ca="1">IFERROR(__xludf.DUMMYFUNCTION("IMPORTRANGE(""https://docs.google.com/spreadsheets/d/1SX6NBoVAgQJ6U1MVXOaj8PK2l7WJ3RER9xtqwdhxkhw/edit?usp=sharing"",""อ่างทอง!M298"")"),0)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IFERROR(__xludf.DUMMYFUNCTION("IMPORTRANGE(""https://docs.google.com/spreadsheets/d/1SX6NBoVAgQJ6U1MVXOaj8PK2l7WJ3RER9xtqwdhxkhw/edit?usp=sharing"",""อ่างทอง!L299"")"),31440)</f>
        <v>31440</v>
      </c>
      <c r="M404" s="165"/>
      <c r="N404" s="169">
        <f ca="1">IFERROR(__xludf.DUMMYFUNCTION("IMPORTRANGE(""https://docs.google.com/spreadsheets/d/1SX6NBoVAgQJ6U1MVXOaj8PK2l7WJ3RER9xtqwdhxkhw/edit?usp=sharing"",""อ่างทอง!M299"")"),31440)</f>
        <v>31440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IFERROR(__xludf.DUMMYFUNCTION("IMPORTRANGE(""https://docs.google.com/spreadsheets/d/1SX6NBoVAgQJ6U1MVXOaj8PK2l7WJ3RER9xtqwdhxkhw/edit?usp=sharing"",""อ่างทอง!L300"")"),0)</f>
        <v>0</v>
      </c>
      <c r="M405" s="169"/>
      <c r="N405" s="169">
        <f ca="1">IFERROR(__xludf.DUMMYFUNCTION("IMPORTRANGE(""https://docs.google.com/spreadsheets/d/1SX6NBoVAgQJ6U1MVXOaj8PK2l7WJ3RER9xtqwdhxkhw/edit?usp=sharing"",""อ่างทอง!M300"")"),0)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IFERROR(__xludf.DUMMYFUNCTION("IMPORTRANGE(""https://docs.google.com/spreadsheets/d/1SX6NBoVAgQJ6U1MVXOaj8PK2l7WJ3RER9xtqwdhxkhw/edit?usp=sharing"",""อ่างทอง!L301"")"),31440)</f>
        <v>31440</v>
      </c>
      <c r="M406" s="169"/>
      <c r="N406" s="169">
        <f ca="1">IFERROR(__xludf.DUMMYFUNCTION("IMPORTRANGE(""https://docs.google.com/spreadsheets/d/1SX6NBoVAgQJ6U1MVXOaj8PK2l7WJ3RER9xtqwdhxkhw/edit?usp=sharing"",""อ่างทอง!M301"")"),31440)</f>
        <v>31440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IFERROR(__xludf.DUMMYFUNCTION("IMPORTRANGE(""https://docs.google.com/spreadsheets/d/1SX6NBoVAgQJ6U1MVXOaj8PK2l7WJ3RER9xtqwdhxkhw/edit?usp=sharing"",""อ่างทอง!M302"")"),31440)</f>
        <v>31440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IFERROR(__xludf.DUMMYFUNCTION("IMPORTRANGE(""https://docs.google.com/spreadsheets/d/1SX6NBoVAgQJ6U1MVXOaj8PK2l7WJ3RER9xtqwdhxkhw/edit?usp=sharing"",""อ่างทอง!M303"")"),0)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IFERROR(__xludf.DUMMYFUNCTION("IMPORTRANGE(""https://docs.google.com/spreadsheets/d/1SX6NBoVAgQJ6U1MVXOaj8PK2l7WJ3RER9xtqwdhxkhw/edit?usp=sharing"",""อ่างทอง!M304"")"),0)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IFERROR(__xludf.DUMMYFUNCTION("IMPORTRANGE(""https://docs.google.com/spreadsheets/d/1SX6NBoVAgQJ6U1MVXOaj8PK2l7WJ3RER9xtqwdhxkhw/edit?usp=sharing"",""อ่างทอง!M305"")"),0)</f>
        <v>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IFERROR(__xludf.DUMMYFUNCTION("IMPORTRANGE(""https://docs.google.com/spreadsheets/d/1SX6NBoVAgQJ6U1MVXOaj8PK2l7WJ3RER9xtqwdhxkhw/edit?usp=sharing"",""อ่างทอง!J307"")"),0)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IFERROR(__xludf.DUMMYFUNCTION("IMPORTRANGE(""https://docs.google.com/spreadsheets/d/1SX6NBoVAgQJ6U1MVXOaj8PK2l7WJ3RER9xtqwdhxkhw/edit?usp=sharing"",""อ่างทอง!J308"")"),1)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IFERROR(__xludf.DUMMYFUNCTION("IMPORTRANGE(""https://docs.google.com/spreadsheets/d/1SX6NBoVAgQJ6U1MVXOaj8PK2l7WJ3RER9xtqwdhxkhw/edit?usp=sharing"",""อ่างทอง!J309"")"),1)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IFERROR(__xludf.DUMMYFUNCTION("IMPORTRANGE(""https://docs.google.com/spreadsheets/d/1SX6NBoVAgQJ6U1MVXOaj8PK2l7WJ3RER9xtqwdhxkhw/edit?usp=sharing"",""อ่างทอง!J310"")"),1)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IFERROR(__xludf.DUMMYFUNCTION("IMPORTRANGE(""https://docs.google.com/spreadsheets/d/1SX6NBoVAgQJ6U1MVXOaj8PK2l7WJ3RER9xtqwdhxkhw/edit?usp=sharing"",""อ่างทอง!I311"")"),10)</f>
        <v>10</v>
      </c>
      <c r="J416" s="201">
        <f ca="1">IFERROR(__xludf.DUMMYFUNCTION("IMPORTRANGE(""https://docs.google.com/spreadsheets/d/1SX6NBoVAgQJ6U1MVXOaj8PK2l7WJ3RER9xtqwdhxkhw/edit?usp=sharing"",""อ่างทอง!J311"")"),10)</f>
        <v>10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IFERROR(__xludf.DUMMYFUNCTION("IMPORTRANGE(""https://docs.google.com/spreadsheets/d/1SX6NBoVAgQJ6U1MVXOaj8PK2l7WJ3RER9xtqwdhxkhw/edit?usp=sharing"",""อ่างทอง!I312"")"),0)</f>
        <v>0</v>
      </c>
      <c r="J417" s="392">
        <f ca="1">IFERROR(__xludf.DUMMYFUNCTION("IMPORTRANGE(""https://docs.google.com/spreadsheets/d/1SX6NBoVAgQJ6U1MVXOaj8PK2l7WJ3RER9xtqwdhxkhw/edit?usp=sharing"",""อ่างทอง!J312"")"),0)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IFERROR(__xludf.DUMMYFUNCTION("IMPORTRANGE(""https://docs.google.com/spreadsheets/d/1SX6NBoVAgQJ6U1MVXOaj8PK2l7WJ3RER9xtqwdhxkhw/edit?usp=sharing"",""อ่างทอง!I313"")"),0)</f>
        <v>0</v>
      </c>
      <c r="J418" s="393">
        <f ca="1">IFERROR(__xludf.DUMMYFUNCTION("IMPORTRANGE(""https://docs.google.com/spreadsheets/d/1SX6NBoVAgQJ6U1MVXOaj8PK2l7WJ3RER9xtqwdhxkhw/edit?usp=sharing"",""อ่างทอง!J313"")"),0)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IFERROR(__xludf.DUMMYFUNCTION("IMPORTRANGE(""https://docs.google.com/spreadsheets/d/1SX6NBoVAgQJ6U1MVXOaj8PK2l7WJ3RER9xtqwdhxkhw/edit?usp=sharing"",""อ่างทอง!I314"")"),0)</f>
        <v>0</v>
      </c>
      <c r="J419" s="394">
        <f ca="1">IFERROR(__xludf.DUMMYFUNCTION("IMPORTRANGE(""https://docs.google.com/spreadsheets/d/1SX6NBoVAgQJ6U1MVXOaj8PK2l7WJ3RER9xtqwdhxkhw/edit?usp=sharing"",""อ่างทอง!J314"")"),0)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IFERROR(__xludf.DUMMYFUNCTION("IMPORTRANGE(""https://docs.google.com/spreadsheets/d/1SX6NBoVAgQJ6U1MVXOaj8PK2l7WJ3RER9xtqwdhxkhw/edit?usp=sharing"",""อ่างทอง!I315"")"),0)</f>
        <v>0</v>
      </c>
      <c r="J420" s="394">
        <f ca="1">IFERROR(__xludf.DUMMYFUNCTION("IMPORTRANGE(""https://docs.google.com/spreadsheets/d/1SX6NBoVAgQJ6U1MVXOaj8PK2l7WJ3RER9xtqwdhxkhw/edit?usp=sharing"",""อ่างทอง!J315"")"),0)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IFERROR(__xludf.DUMMYFUNCTION("IMPORTRANGE(""https://docs.google.com/spreadsheets/d/1SX6NBoVAgQJ6U1MVXOaj8PK2l7WJ3RER9xtqwdhxkhw/edit?usp=sharing"",""อ่างทอง!I316"")"),0)</f>
        <v>0</v>
      </c>
      <c r="J421" s="392">
        <f ca="1">IFERROR(__xludf.DUMMYFUNCTION("IMPORTRANGE(""https://docs.google.com/spreadsheets/d/1SX6NBoVAgQJ6U1MVXOaj8PK2l7WJ3RER9xtqwdhxkhw/edit?usp=sharing"",""อ่างทอง!J316"")"),0)</f>
        <v>0</v>
      </c>
      <c r="K421" s="202">
        <f t="shared" ca="1" si="113"/>
        <v>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IFERROR(__xludf.DUMMYFUNCTION("IMPORTRANGE(""https://docs.google.com/spreadsheets/d/1SX6NBoVAgQJ6U1MVXOaj8PK2l7WJ3RER9xtqwdhxkhw/edit?usp=sharing"",""อ่างทอง!I317"")"),0)</f>
        <v>0</v>
      </c>
      <c r="J422" s="393">
        <f ca="1">IFERROR(__xludf.DUMMYFUNCTION("IMPORTRANGE(""https://docs.google.com/spreadsheets/d/1SX6NBoVAgQJ6U1MVXOaj8PK2l7WJ3RER9xtqwdhxkhw/edit?usp=sharing"",""อ่างทอง!J317"")"),0)</f>
        <v>0</v>
      </c>
      <c r="K422" s="202">
        <f t="shared" ca="1" si="113"/>
        <v>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IFERROR(__xludf.DUMMYFUNCTION("IMPORTRANGE(""https://docs.google.com/spreadsheets/d/1SX6NBoVAgQJ6U1MVXOaj8PK2l7WJ3RER9xtqwdhxkhw/edit?usp=sharing"",""อ่างทอง!I318"")"),0)</f>
        <v>0</v>
      </c>
      <c r="J423" s="394">
        <f ca="1">IFERROR(__xludf.DUMMYFUNCTION("IMPORTRANGE(""https://docs.google.com/spreadsheets/d/1SX6NBoVAgQJ6U1MVXOaj8PK2l7WJ3RER9xtqwdhxkhw/edit?usp=sharing"",""อ่างทอง!J318"")"),0)</f>
        <v>0</v>
      </c>
      <c r="K423" s="163">
        <f t="shared" ca="1" si="113"/>
        <v>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IFERROR(__xludf.DUMMYFUNCTION("IMPORTRANGE(""https://docs.google.com/spreadsheets/d/1SX6NBoVAgQJ6U1MVXOaj8PK2l7WJ3RER9xtqwdhxkhw/edit?usp=sharing"",""อ่างทอง!I319"")"),0)</f>
        <v>0</v>
      </c>
      <c r="J424" s="394">
        <f ca="1">IFERROR(__xludf.DUMMYFUNCTION("IMPORTRANGE(""https://docs.google.com/spreadsheets/d/1SX6NBoVAgQJ6U1MVXOaj8PK2l7WJ3RER9xtqwdhxkhw/edit?usp=sharing"",""อ่างทอง!J319"")"),0)</f>
        <v>0</v>
      </c>
      <c r="K424" s="163">
        <f t="shared" ca="1" si="113"/>
        <v>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IFERROR(__xludf.DUMMYFUNCTION("IMPORTRANGE(""https://docs.google.com/spreadsheets/d/1SX6NBoVAgQJ6U1MVXOaj8PK2l7WJ3RER9xtqwdhxkhw/edit?usp=sharing"",""อ่างทอง!I320"")"),0)</f>
        <v>0</v>
      </c>
      <c r="J425" s="394">
        <f ca="1">IFERROR(__xludf.DUMMYFUNCTION("IMPORTRANGE(""https://docs.google.com/spreadsheets/d/1SX6NBoVAgQJ6U1MVXOaj8PK2l7WJ3RER9xtqwdhxkhw/edit?usp=sharing"",""อ่างทอง!J320"")"),0)</f>
        <v>0</v>
      </c>
      <c r="K425" s="163">
        <f t="shared" ca="1" si="113"/>
        <v>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IFERROR(__xludf.DUMMYFUNCTION("IMPORTRANGE(""https://docs.google.com/spreadsheets/d/1SX6NBoVAgQJ6U1MVXOaj8PK2l7WJ3RER9xtqwdhxkhw/edit?usp=sharing"",""อ่างทอง!I321"")"),10)</f>
        <v>10</v>
      </c>
      <c r="J426" s="392">
        <f ca="1">IFERROR(__xludf.DUMMYFUNCTION("IMPORTRANGE(""https://docs.google.com/spreadsheets/d/1SX6NBoVAgQJ6U1MVXOaj8PK2l7WJ3RER9xtqwdhxkhw/edit?usp=sharing"",""อ่างทอง!J321"")"),10)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IFERROR(__xludf.DUMMYFUNCTION("IMPORTRANGE(""https://docs.google.com/spreadsheets/d/1SX6NBoVAgQJ6U1MVXOaj8PK2l7WJ3RER9xtqwdhxkhw/edit?usp=sharing"",""อ่างทอง!I322"")"),30)</f>
        <v>30</v>
      </c>
      <c r="J427" s="393">
        <f ca="1">IFERROR(__xludf.DUMMYFUNCTION("IMPORTRANGE(""https://docs.google.com/spreadsheets/d/1SX6NBoVAgQJ6U1MVXOaj8PK2l7WJ3RER9xtqwdhxkhw/edit?usp=sharing"",""อ่างทอง!J322"")"),30)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IFERROR(__xludf.DUMMYFUNCTION("IMPORTRANGE(""https://docs.google.com/spreadsheets/d/1SX6NBoVAgQJ6U1MVXOaj8PK2l7WJ3RER9xtqwdhxkhw/edit?usp=sharing"",""อ่างทอง!I323"")"),10)</f>
        <v>10</v>
      </c>
      <c r="J428" s="394">
        <f ca="1">IFERROR(__xludf.DUMMYFUNCTION("IMPORTRANGE(""https://docs.google.com/spreadsheets/d/1SX6NBoVAgQJ6U1MVXOaj8PK2l7WJ3RER9xtqwdhxkhw/edit?usp=sharing"",""อ่างทอง!J323"")"),10)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IFERROR(__xludf.DUMMYFUNCTION("IMPORTRANGE(""https://docs.google.com/spreadsheets/d/1SX6NBoVAgQJ6U1MVXOaj8PK2l7WJ3RER9xtqwdhxkhw/edit?usp=sharing"",""อ่างทอง!I324"")"),10)</f>
        <v>10</v>
      </c>
      <c r="J429" s="394">
        <f ca="1">IFERROR(__xludf.DUMMYFUNCTION("IMPORTRANGE(""https://docs.google.com/spreadsheets/d/1SX6NBoVAgQJ6U1MVXOaj8PK2l7WJ3RER9xtqwdhxkhw/edit?usp=sharing"",""อ่างทอง!J324"")"),10)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IFERROR(__xludf.DUMMYFUNCTION("IMPORTRANGE(""https://docs.google.com/spreadsheets/d/1SX6NBoVAgQJ6U1MVXOaj8PK2l7WJ3RER9xtqwdhxkhw/edit?usp=sharing"",""อ่างทอง!I325"")"),0)</f>
        <v>0</v>
      </c>
      <c r="J430" s="392">
        <f ca="1">IFERROR(__xludf.DUMMYFUNCTION("IMPORTRANGE(""https://docs.google.com/spreadsheets/d/1SX6NBoVAgQJ6U1MVXOaj8PK2l7WJ3RER9xtqwdhxkhw/edit?usp=sharing"",""อ่างทอง!J325"")"),0)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IFERROR(__xludf.DUMMYFUNCTION("IMPORTRANGE(""https://docs.google.com/spreadsheets/d/1SX6NBoVAgQJ6U1MVXOaj8PK2l7WJ3RER9xtqwdhxkhw/edit?usp=sharing"",""อ่างทอง!I326"")"),0)</f>
        <v>0</v>
      </c>
      <c r="J431" s="394">
        <f ca="1">IFERROR(__xludf.DUMMYFUNCTION("IMPORTRANGE(""https://docs.google.com/spreadsheets/d/1SX6NBoVAgQJ6U1MVXOaj8PK2l7WJ3RER9xtqwdhxkhw/edit?usp=sharing"",""อ่างทอง!J326"")"),0)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IFERROR(__xludf.DUMMYFUNCTION("IMPORTRANGE(""https://docs.google.com/spreadsheets/d/1SX6NBoVAgQJ6U1MVXOaj8PK2l7WJ3RER9xtqwdhxkhw/edit?usp=sharing"",""อ่างทอง!I327"")"),0)</f>
        <v>0</v>
      </c>
      <c r="J432" s="394">
        <f ca="1">IFERROR(__xludf.DUMMYFUNCTION("IMPORTRANGE(""https://docs.google.com/spreadsheets/d/1SX6NBoVAgQJ6U1MVXOaj8PK2l7WJ3RER9xtqwdhxkhw/edit?usp=sharing"",""อ่างทอง!J327"")"),0)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IFERROR(__xludf.DUMMYFUNCTION("IMPORTRANGE(""https://docs.google.com/spreadsheets/d/1SX6NBoVAgQJ6U1MVXOaj8PK2l7WJ3RER9xtqwdhxkhw/edit?usp=sharing"",""อ่างทอง!J328"")"),0)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IFERROR(__xludf.DUMMYFUNCTION("IMPORTRANGE(""https://docs.google.com/spreadsheets/d/1SX6NBoVAgQJ6U1MVXOaj8PK2l7WJ3RER9xtqwdhxkhw/edit?usp=sharing"",""อ่างทอง!J329"")"),0)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IFERROR(__xludf.DUMMYFUNCTION("IMPORTRANGE(""https://docs.google.com/spreadsheets/d/1SX6NBoVAgQJ6U1MVXOaj8PK2l7WJ3RER9xtqwdhxkhw/edit?usp=sharing"",""อ่างทอง!I330"")"),10)</f>
        <v>10</v>
      </c>
      <c r="J435" s="410">
        <f ca="1">IFERROR(__xludf.DUMMYFUNCTION("IMPORTRANGE(""https://docs.google.com/spreadsheets/d/1SX6NBoVAgQJ6U1MVXOaj8PK2l7WJ3RER9xtqwdhxkhw/edit?usp=sharing"",""อ่างทอง!J330"")"),10)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IFERROR(__xludf.DUMMYFUNCTION("IMPORTRANGE(""https://docs.google.com/spreadsheets/d/1SX6NBoVAgQJ6U1MVXOaj8PK2l7WJ3RER9xtqwdhxkhw/edit?usp=sharing"",""อ่างทอง!L330"")"),76000)</f>
        <v>76000</v>
      </c>
      <c r="M435" s="412"/>
      <c r="N435" s="412">
        <f ca="1">IFERROR(__xludf.DUMMYFUNCTION("IMPORTRANGE(""https://docs.google.com/spreadsheets/d/1SX6NBoVAgQJ6U1MVXOaj8PK2l7WJ3RER9xtqwdhxkhw/edit?usp=sharing"",""อ่างทอง!M330"")"),19190)</f>
        <v>19190</v>
      </c>
      <c r="O435" s="412">
        <f t="shared" ref="O435:O439" ca="1" si="114">+IF(L435&gt;0,N435*100/L435,0)</f>
        <v>25.25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IFERROR(__xludf.DUMMYFUNCTION("IMPORTRANGE(""https://docs.google.com/spreadsheets/d/1SX6NBoVAgQJ6U1MVXOaj8PK2l7WJ3RER9xtqwdhxkhw/edit?usp=sharing"",""อ่างทอง!L331"")"),0)</f>
        <v>0</v>
      </c>
      <c r="M436" s="164"/>
      <c r="N436" s="169">
        <f ca="1">IFERROR(__xludf.DUMMYFUNCTION("IMPORTRANGE(""https://docs.google.com/spreadsheets/d/1SX6NBoVAgQJ6U1MVXOaj8PK2l7WJ3RER9xtqwdhxkhw/edit?usp=sharing"",""อ่างทอง!M331"")"),0)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IFERROR(__xludf.DUMMYFUNCTION("IMPORTRANGE(""https://docs.google.com/spreadsheets/d/1SX6NBoVAgQJ6U1MVXOaj8PK2l7WJ3RER9xtqwdhxkhw/edit?usp=sharing"",""อ่างทอง!L332"")"),76000)</f>
        <v>76000</v>
      </c>
      <c r="M437" s="165"/>
      <c r="N437" s="169">
        <f ca="1">IFERROR(__xludf.DUMMYFUNCTION("IMPORTRANGE(""https://docs.google.com/spreadsheets/d/1SX6NBoVAgQJ6U1MVXOaj8PK2l7WJ3RER9xtqwdhxkhw/edit?usp=sharing"",""อ่างทอง!M332"")"),19190)</f>
        <v>19190</v>
      </c>
      <c r="O437" s="169">
        <f t="shared" ca="1" si="114"/>
        <v>25.25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IFERROR(__xludf.DUMMYFUNCTION("IMPORTRANGE(""https://docs.google.com/spreadsheets/d/1SX6NBoVAgQJ6U1MVXOaj8PK2l7WJ3RER9xtqwdhxkhw/edit?usp=sharing"",""อ่างทอง!L333"")"),0)</f>
        <v>0</v>
      </c>
      <c r="M438" s="169"/>
      <c r="N438" s="169">
        <f ca="1">IFERROR(__xludf.DUMMYFUNCTION("IMPORTRANGE(""https://docs.google.com/spreadsheets/d/1SX6NBoVAgQJ6U1MVXOaj8PK2l7WJ3RER9xtqwdhxkhw/edit?usp=sharing"",""อ่างทอง!M333"")"),0)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IFERROR(__xludf.DUMMYFUNCTION("IMPORTRANGE(""https://docs.google.com/spreadsheets/d/1SX6NBoVAgQJ6U1MVXOaj8PK2l7WJ3RER9xtqwdhxkhw/edit?usp=sharing"",""อ่างทอง!L334"")"),76000)</f>
        <v>76000</v>
      </c>
      <c r="M439" s="169"/>
      <c r="N439" s="169">
        <f ca="1">IFERROR(__xludf.DUMMYFUNCTION("IMPORTRANGE(""https://docs.google.com/spreadsheets/d/1SX6NBoVAgQJ6U1MVXOaj8PK2l7WJ3RER9xtqwdhxkhw/edit?usp=sharing"",""อ่างทอง!M334"")"),19190)</f>
        <v>19190</v>
      </c>
      <c r="O439" s="169">
        <f t="shared" ca="1" si="114"/>
        <v>25.25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IFERROR(__xludf.DUMMYFUNCTION("IMPORTRANGE(""https://docs.google.com/spreadsheets/d/1SX6NBoVAgQJ6U1MVXOaj8PK2l7WJ3RER9xtqwdhxkhw/edit?usp=sharing"",""อ่างทอง!M335"")"),19190)</f>
        <v>19190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IFERROR(__xludf.DUMMYFUNCTION("IMPORTRANGE(""https://docs.google.com/spreadsheets/d/1SX6NBoVAgQJ6U1MVXOaj8PK2l7WJ3RER9xtqwdhxkhw/edit?usp=sharing"",""อ่างทอง!M336"")"),0)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IFERROR(__xludf.DUMMYFUNCTION("IMPORTRANGE(""https://docs.google.com/spreadsheets/d/1SX6NBoVAgQJ6U1MVXOaj8PK2l7WJ3RER9xtqwdhxkhw/edit?usp=sharing"",""อ่างทอง!M337"")"),0)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IFERROR(__xludf.DUMMYFUNCTION("IMPORTRANGE(""https://docs.google.com/spreadsheets/d/1SX6NBoVAgQJ6U1MVXOaj8PK2l7WJ3RER9xtqwdhxkhw/edit?usp=sharing"",""อ่างทอง!M338"")"),0)</f>
        <v>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IFERROR(__xludf.DUMMYFUNCTION("IMPORTRANGE(""https://docs.google.com/spreadsheets/d/1SX6NBoVAgQJ6U1MVXOaj8PK2l7WJ3RER9xtqwdhxkhw/edit?usp=sharing"",""อ่างทอง!J340"")"),0)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IFERROR(__xludf.DUMMYFUNCTION("IMPORTRANGE(""https://docs.google.com/spreadsheets/d/1SX6NBoVAgQJ6U1MVXOaj8PK2l7WJ3RER9xtqwdhxkhw/edit?usp=sharing"",""อ่างทอง!J341"")"),1)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IFERROR(__xludf.DUMMYFUNCTION("IMPORTRANGE(""https://docs.google.com/spreadsheets/d/1SX6NBoVAgQJ6U1MVXOaj8PK2l7WJ3RER9xtqwdhxkhw/edit?usp=sharing"",""อ่างทอง!J342"")"),1)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IFERROR(__xludf.DUMMYFUNCTION("IMPORTRANGE(""https://docs.google.com/spreadsheets/d/1SX6NBoVAgQJ6U1MVXOaj8PK2l7WJ3RER9xtqwdhxkhw/edit?usp=sharing"",""อ่างทอง!J343"")"),1)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IFERROR(__xludf.DUMMYFUNCTION("IMPORTRANGE(""https://docs.google.com/spreadsheets/d/1SX6NBoVAgQJ6U1MVXOaj8PK2l7WJ3RER9xtqwdhxkhw/edit?usp=sharing"",""อ่างทอง!I344"")"),10)</f>
        <v>10</v>
      </c>
      <c r="J449" s="201">
        <f ca="1">IFERROR(__xludf.DUMMYFUNCTION("IMPORTRANGE(""https://docs.google.com/spreadsheets/d/1SX6NBoVAgQJ6U1MVXOaj8PK2l7WJ3RER9xtqwdhxkhw/edit?usp=sharing"",""อ่างทอง!J344"")"),10)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IFERROR(__xludf.DUMMYFUNCTION("IMPORTRANGE(""https://docs.google.com/spreadsheets/d/1SX6NBoVAgQJ6U1MVXOaj8PK2l7WJ3RER9xtqwdhxkhw/edit?usp=sharing"",""อ่างทอง!I345"")"),10)</f>
        <v>10</v>
      </c>
      <c r="J450" s="189">
        <f ca="1">IFERROR(__xludf.DUMMYFUNCTION("IMPORTRANGE(""https://docs.google.com/spreadsheets/d/1SX6NBoVAgQJ6U1MVXOaj8PK2l7WJ3RER9xtqwdhxkhw/edit?usp=sharing"",""อ่างทอง!J345"")"),10)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IFERROR(__xludf.DUMMYFUNCTION("IMPORTRANGE(""https://docs.google.com/spreadsheets/d/1SX6NBoVAgQJ6U1MVXOaj8PK2l7WJ3RER9xtqwdhxkhw/edit?usp=sharing"",""อ่างทอง!I346"")"),0)</f>
        <v>0</v>
      </c>
      <c r="J451" s="188">
        <f ca="1">IFERROR(__xludf.DUMMYFUNCTION("IMPORTRANGE(""https://docs.google.com/spreadsheets/d/1SX6NBoVAgQJ6U1MVXOaj8PK2l7WJ3RER9xtqwdhxkhw/edit?usp=sharing"",""อ่างทอง!J346"")"),0)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IFERROR(__xludf.DUMMYFUNCTION("IMPORTRANGE(""https://docs.google.com/spreadsheets/d/1SX6NBoVAgQJ6U1MVXOaj8PK2l7WJ3RER9xtqwdhxkhw/edit?usp=sharing"",""อ่างทอง!I347"")"),0)</f>
        <v>0</v>
      </c>
      <c r="J452" s="188">
        <f ca="1">IFERROR(__xludf.DUMMYFUNCTION("IMPORTRANGE(""https://docs.google.com/spreadsheets/d/1SX6NBoVAgQJ6U1MVXOaj8PK2l7WJ3RER9xtqwdhxkhw/edit?usp=sharing"",""อ่างทอง!J347"")"),0)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IFERROR(__xludf.DUMMYFUNCTION("IMPORTRANGE(""https://docs.google.com/spreadsheets/d/1SX6NBoVAgQJ6U1MVXOaj8PK2l7WJ3RER9xtqwdhxkhw/edit?usp=sharing"",""อ่างทอง!J348"")"),0)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IFERROR(__xludf.DUMMYFUNCTION("IMPORTRANGE(""https://docs.google.com/spreadsheets/d/1SX6NBoVAgQJ6U1MVXOaj8PK2l7WJ3RER9xtqwdhxkhw/edit?usp=sharing"",""อ่างทอง!J349"")"),0)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IFERROR(__xludf.DUMMYFUNCTION("IMPORTRANGE(""https://docs.google.com/spreadsheets/d/1SX6NBoVAgQJ6U1MVXOaj8PK2l7WJ3RER9xtqwdhxkhw/edit?usp=sharing"",""อ่างทอง!I350"")"),0)</f>
        <v>0</v>
      </c>
      <c r="J455" s="371">
        <f ca="1">IFERROR(__xludf.DUMMYFUNCTION("IMPORTRANGE(""https://docs.google.com/spreadsheets/d/1SX6NBoVAgQJ6U1MVXOaj8PK2l7WJ3RER9xtqwdhxkhw/edit?usp=sharing"",""อ่างทอง!J350"")"),0)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IFERROR(__xludf.DUMMYFUNCTION("IMPORTRANGE(""https://docs.google.com/spreadsheets/d/1SX6NBoVAgQJ6U1MVXOaj8PK2l7WJ3RER9xtqwdhxkhw/edit?usp=sharing"",""อ่างทอง!L350"")"),0)</f>
        <v>0</v>
      </c>
      <c r="M455" s="373"/>
      <c r="N455" s="373">
        <f ca="1">IFERROR(__xludf.DUMMYFUNCTION("IMPORTRANGE(""https://docs.google.com/spreadsheets/d/1SX6NBoVAgQJ6U1MVXOaj8PK2l7WJ3RER9xtqwdhxkhw/edit?usp=sharing"",""อ่างทอง!M350"")"),0)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IFERROR(__xludf.DUMMYFUNCTION("IMPORTRANGE(""https://docs.google.com/spreadsheets/d/1SX6NBoVAgQJ6U1MVXOaj8PK2l7WJ3RER9xtqwdhxkhw/edit?usp=sharing"",""อ่างทอง!L351"")"),0)</f>
        <v>0</v>
      </c>
      <c r="M456" s="164"/>
      <c r="N456" s="169">
        <f ca="1">IFERROR(__xludf.DUMMYFUNCTION("IMPORTRANGE(""https://docs.google.com/spreadsheets/d/1SX6NBoVAgQJ6U1MVXOaj8PK2l7WJ3RER9xtqwdhxkhw/edit?usp=sharing"",""อ่างทอง!M351"")"),0)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IFERROR(__xludf.DUMMYFUNCTION("IMPORTRANGE(""https://docs.google.com/spreadsheets/d/1SX6NBoVAgQJ6U1MVXOaj8PK2l7WJ3RER9xtqwdhxkhw/edit?usp=sharing"",""อ่างทอง!L352"")"),0)</f>
        <v>0</v>
      </c>
      <c r="M457" s="165"/>
      <c r="N457" s="169">
        <f ca="1">IFERROR(__xludf.DUMMYFUNCTION("IMPORTRANGE(""https://docs.google.com/spreadsheets/d/1SX6NBoVAgQJ6U1MVXOaj8PK2l7WJ3RER9xtqwdhxkhw/edit?usp=sharing"",""อ่างทอง!M352"")"),0)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IFERROR(__xludf.DUMMYFUNCTION("IMPORTRANGE(""https://docs.google.com/spreadsheets/d/1SX6NBoVAgQJ6U1MVXOaj8PK2l7WJ3RER9xtqwdhxkhw/edit?usp=sharing"",""อ่างทอง!L353"")"),0)</f>
        <v>0</v>
      </c>
      <c r="M458" s="169"/>
      <c r="N458" s="169">
        <f ca="1">IFERROR(__xludf.DUMMYFUNCTION("IMPORTRANGE(""https://docs.google.com/spreadsheets/d/1SX6NBoVAgQJ6U1MVXOaj8PK2l7WJ3RER9xtqwdhxkhw/edit?usp=sharing"",""อ่างทอง!M353"")"),0)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IFERROR(__xludf.DUMMYFUNCTION("IMPORTRANGE(""https://docs.google.com/spreadsheets/d/1SX6NBoVAgQJ6U1MVXOaj8PK2l7WJ3RER9xtqwdhxkhw/edit?usp=sharing"",""อ่างทอง!L354"")"),0)</f>
        <v>0</v>
      </c>
      <c r="M459" s="169"/>
      <c r="N459" s="169">
        <f ca="1">IFERROR(__xludf.DUMMYFUNCTION("IMPORTRANGE(""https://docs.google.com/spreadsheets/d/1SX6NBoVAgQJ6U1MVXOaj8PK2l7WJ3RER9xtqwdhxkhw/edit?usp=sharing"",""อ่างทอง!M354"")"),0)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IFERROR(__xludf.DUMMYFUNCTION("IMPORTRANGE(""https://docs.google.com/spreadsheets/d/1SX6NBoVAgQJ6U1MVXOaj8PK2l7WJ3RER9xtqwdhxkhw/edit?usp=sharing"",""อ่างทอง!M355"")"),0)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IFERROR(__xludf.DUMMYFUNCTION("IMPORTRANGE(""https://docs.google.com/spreadsheets/d/1SX6NBoVAgQJ6U1MVXOaj8PK2l7WJ3RER9xtqwdhxkhw/edit?usp=sharing"",""อ่างทอง!M356"")"),0)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IFERROR(__xludf.DUMMYFUNCTION("IMPORTRANGE(""https://docs.google.com/spreadsheets/d/1SX6NBoVAgQJ6U1MVXOaj8PK2l7WJ3RER9xtqwdhxkhw/edit?usp=sharing"",""อ่างทอง!M357"")"),0)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IFERROR(__xludf.DUMMYFUNCTION("IMPORTRANGE(""https://docs.google.com/spreadsheets/d/1SX6NBoVAgQJ6U1MVXOaj8PK2l7WJ3RER9xtqwdhxkhw/edit?usp=sharing"",""อ่างทอง!M358"")"),0)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IFERROR(__xludf.DUMMYFUNCTION("IMPORTRANGE(""https://docs.google.com/spreadsheets/d/1SX6NBoVAgQJ6U1MVXOaj8PK2l7WJ3RER9xtqwdhxkhw/edit?usp=sharing"",""อ่างทอง!I359"")"),0)</f>
        <v>0</v>
      </c>
      <c r="J464" s="268">
        <f ca="1">IFERROR(__xludf.DUMMYFUNCTION("IMPORTRANGE(""https://docs.google.com/spreadsheets/d/1SX6NBoVAgQJ6U1MVXOaj8PK2l7WJ3RER9xtqwdhxkhw/edit?usp=sharing"",""อ่างทอง!J359"")"),0)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IFERROR(__xludf.DUMMYFUNCTION("IMPORTRANGE(""https://docs.google.com/spreadsheets/d/1SX6NBoVAgQJ6U1MVXOaj8PK2l7WJ3RER9xtqwdhxkhw/edit?usp=sharing"",""อ่างทอง!I360"")"),0)</f>
        <v>0</v>
      </c>
      <c r="J465" s="420">
        <f ca="1">IFERROR(__xludf.DUMMYFUNCTION("IMPORTRANGE(""https://docs.google.com/spreadsheets/d/1SX6NBoVAgQJ6U1MVXOaj8PK2l7WJ3RER9xtqwdhxkhw/edit?usp=sharing"",""อ่างทอง!J360"")"),0)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IFERROR(__xludf.DUMMYFUNCTION("IMPORTRANGE(""https://docs.google.com/spreadsheets/d/1SX6NBoVAgQJ6U1MVXOaj8PK2l7WJ3RER9xtqwdhxkhw/edit?usp=sharing"",""อ่างทอง!I361"")"),0)</f>
        <v>0</v>
      </c>
      <c r="J466" s="420">
        <f ca="1">IFERROR(__xludf.DUMMYFUNCTION("IMPORTRANGE(""https://docs.google.com/spreadsheets/d/1SX6NBoVAgQJ6U1MVXOaj8PK2l7WJ3RER9xtqwdhxkhw/edit?usp=sharing"",""อ่างทอง!J361"")"),0)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IFERROR(__xludf.DUMMYFUNCTION("IMPORTRANGE(""https://docs.google.com/spreadsheets/d/1SX6NBoVAgQJ6U1MVXOaj8PK2l7WJ3RER9xtqwdhxkhw/edit?usp=sharing"",""อ่างทอง!I362"")"),0)</f>
        <v>0</v>
      </c>
      <c r="J467" s="189">
        <f ca="1">IFERROR(__xludf.DUMMYFUNCTION("IMPORTRANGE(""https://docs.google.com/spreadsheets/d/1SX6NBoVAgQJ6U1MVXOaj8PK2l7WJ3RER9xtqwdhxkhw/edit?usp=sharing"",""อ่างทอง!J362"")"),0)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IFERROR(__xludf.DUMMYFUNCTION("IMPORTRANGE(""https://docs.google.com/spreadsheets/d/1SX6NBoVAgQJ6U1MVXOaj8PK2l7WJ3RER9xtqwdhxkhw/edit?usp=sharing"",""อ่างทอง!I363"")"),0)</f>
        <v>0</v>
      </c>
      <c r="J468" s="189">
        <f ca="1">IFERROR(__xludf.DUMMYFUNCTION("IMPORTRANGE(""https://docs.google.com/spreadsheets/d/1SX6NBoVAgQJ6U1MVXOaj8PK2l7WJ3RER9xtqwdhxkhw/edit?usp=sharing"",""อ่างทอง!J363"")"),0)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IFERROR(__xludf.DUMMYFUNCTION("IMPORTRANGE(""https://docs.google.com/spreadsheets/d/1SX6NBoVAgQJ6U1MVXOaj8PK2l7WJ3RER9xtqwdhxkhw/edit?usp=sharing"",""อ่างทอง!I364"")"),0)</f>
        <v>0</v>
      </c>
      <c r="J469" s="189">
        <f ca="1">IFERROR(__xludf.DUMMYFUNCTION("IMPORTRANGE(""https://docs.google.com/spreadsheets/d/1SX6NBoVAgQJ6U1MVXOaj8PK2l7WJ3RER9xtqwdhxkhw/edit?usp=sharing"",""อ่างทอง!J364"")"),0)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IFERROR(__xludf.DUMMYFUNCTION("IMPORTRANGE(""https://docs.google.com/spreadsheets/d/1SX6NBoVAgQJ6U1MVXOaj8PK2l7WJ3RER9xtqwdhxkhw/edit?usp=sharing"",""อ่างทอง!I365"")"),0)</f>
        <v>0</v>
      </c>
      <c r="J470" s="189">
        <f ca="1">IFERROR(__xludf.DUMMYFUNCTION("IMPORTRANGE(""https://docs.google.com/spreadsheets/d/1SX6NBoVAgQJ6U1MVXOaj8PK2l7WJ3RER9xtqwdhxkhw/edit?usp=sharing"",""อ่างทอง!J365"")"),0)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IFERROR(__xludf.DUMMYFUNCTION("IMPORTRANGE(""https://docs.google.com/spreadsheets/d/1SX6NBoVAgQJ6U1MVXOaj8PK2l7WJ3RER9xtqwdhxkhw/edit?usp=sharing"",""อ่างทอง!I366"")"),0)</f>
        <v>0</v>
      </c>
      <c r="J471" s="189">
        <f ca="1">IFERROR(__xludf.DUMMYFUNCTION("IMPORTRANGE(""https://docs.google.com/spreadsheets/d/1SX6NBoVAgQJ6U1MVXOaj8PK2l7WJ3RER9xtqwdhxkhw/edit?usp=sharing"",""อ่างทอง!J366"")"),0)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IFERROR(__xludf.DUMMYFUNCTION("IMPORTRANGE(""https://docs.google.com/spreadsheets/d/1SX6NBoVAgQJ6U1MVXOaj8PK2l7WJ3RER9xtqwdhxkhw/edit?usp=sharing"",""อ่างทอง!I367"")"),0)</f>
        <v>0</v>
      </c>
      <c r="J472" s="189">
        <f ca="1">IFERROR(__xludf.DUMMYFUNCTION("IMPORTRANGE(""https://docs.google.com/spreadsheets/d/1SX6NBoVAgQJ6U1MVXOaj8PK2l7WJ3RER9xtqwdhxkhw/edit?usp=sharing"",""อ่างทอง!J367"")"),0)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IFERROR(__xludf.DUMMYFUNCTION("IMPORTRANGE(""https://docs.google.com/spreadsheets/d/1SX6NBoVAgQJ6U1MVXOaj8PK2l7WJ3RER9xtqwdhxkhw/edit?usp=sharing"",""อ่างทอง!I368"")"),0)</f>
        <v>0</v>
      </c>
      <c r="J473" s="420">
        <f ca="1">IFERROR(__xludf.DUMMYFUNCTION("IMPORTRANGE(""https://docs.google.com/spreadsheets/d/1SX6NBoVAgQJ6U1MVXOaj8PK2l7WJ3RER9xtqwdhxkhw/edit?usp=sharing"",""อ่างทอง!J368"")"),0)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IFERROR(__xludf.DUMMYFUNCTION("IMPORTRANGE(""https://docs.google.com/spreadsheets/d/1SX6NBoVAgQJ6U1MVXOaj8PK2l7WJ3RER9xtqwdhxkhw/edit?usp=sharing"",""อ่างทอง!I369"")"),0)</f>
        <v>0</v>
      </c>
      <c r="J474" s="420">
        <f ca="1">IFERROR(__xludf.DUMMYFUNCTION("IMPORTRANGE(""https://docs.google.com/spreadsheets/d/1SX6NBoVAgQJ6U1MVXOaj8PK2l7WJ3RER9xtqwdhxkhw/edit?usp=sharing"",""อ่างทอง!J369"")"),0)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IFERROR(__xludf.DUMMYFUNCTION("IMPORTRANGE(""https://docs.google.com/spreadsheets/d/1SX6NBoVAgQJ6U1MVXOaj8PK2l7WJ3RER9xtqwdhxkhw/edit?usp=sharing"",""อ่างทอง!I370"")"),0)</f>
        <v>0</v>
      </c>
      <c r="J475" s="189">
        <f ca="1">IFERROR(__xludf.DUMMYFUNCTION("IMPORTRANGE(""https://docs.google.com/spreadsheets/d/1SX6NBoVAgQJ6U1MVXOaj8PK2l7WJ3RER9xtqwdhxkhw/edit?usp=sharing"",""อ่างทอง!J370"")"),0)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IFERROR(__xludf.DUMMYFUNCTION("IMPORTRANGE(""https://docs.google.com/spreadsheets/d/1SX6NBoVAgQJ6U1MVXOaj8PK2l7WJ3RER9xtqwdhxkhw/edit?usp=sharing"",""อ่างทอง!I371"")"),0)</f>
        <v>0</v>
      </c>
      <c r="J476" s="189">
        <f ca="1">IFERROR(__xludf.DUMMYFUNCTION("IMPORTRANGE(""https://docs.google.com/spreadsheets/d/1SX6NBoVAgQJ6U1MVXOaj8PK2l7WJ3RER9xtqwdhxkhw/edit?usp=sharing"",""อ่างทอง!J371"")"),0)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IFERROR(__xludf.DUMMYFUNCTION("IMPORTRANGE(""https://docs.google.com/spreadsheets/d/1SX6NBoVAgQJ6U1MVXOaj8PK2l7WJ3RER9xtqwdhxkhw/edit?usp=sharing"",""อ่างทอง!I372"")"),0)</f>
        <v>0</v>
      </c>
      <c r="J477" s="189">
        <f ca="1">IFERROR(__xludf.DUMMYFUNCTION("IMPORTRANGE(""https://docs.google.com/spreadsheets/d/1SX6NBoVAgQJ6U1MVXOaj8PK2l7WJ3RER9xtqwdhxkhw/edit?usp=sharing"",""อ่างทอง!J372"")"),0)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IFERROR(__xludf.DUMMYFUNCTION("IMPORTRANGE(""https://docs.google.com/spreadsheets/d/1SX6NBoVAgQJ6U1MVXOaj8PK2l7WJ3RER9xtqwdhxkhw/edit?usp=sharing"",""อ่างทอง!I373"")"),0)</f>
        <v>0</v>
      </c>
      <c r="J478" s="189">
        <f ca="1">IFERROR(__xludf.DUMMYFUNCTION("IMPORTRANGE(""https://docs.google.com/spreadsheets/d/1SX6NBoVAgQJ6U1MVXOaj8PK2l7WJ3RER9xtqwdhxkhw/edit?usp=sharing"",""อ่างทอง!J373"")"),0)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IFERROR(__xludf.DUMMYFUNCTION("IMPORTRANGE(""https://docs.google.com/spreadsheets/d/1SX6NBoVAgQJ6U1MVXOaj8PK2l7WJ3RER9xtqwdhxkhw/edit?usp=sharing"",""อ่างทอง!I374"")"),0)</f>
        <v>0</v>
      </c>
      <c r="J479" s="189">
        <f ca="1">IFERROR(__xludf.DUMMYFUNCTION("IMPORTRANGE(""https://docs.google.com/spreadsheets/d/1SX6NBoVAgQJ6U1MVXOaj8PK2l7WJ3RER9xtqwdhxkhw/edit?usp=sharing"",""อ่างทอง!J374"")"),0)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IFERROR(__xludf.DUMMYFUNCTION("IMPORTRANGE(""https://docs.google.com/spreadsheets/d/1SX6NBoVAgQJ6U1MVXOaj8PK2l7WJ3RER9xtqwdhxkhw/edit?usp=sharing"",""อ่างทอง!I375"")"),0)</f>
        <v>0</v>
      </c>
      <c r="J480" s="189">
        <f ca="1">IFERROR(__xludf.DUMMYFUNCTION("IMPORTRANGE(""https://docs.google.com/spreadsheets/d/1SX6NBoVAgQJ6U1MVXOaj8PK2l7WJ3RER9xtqwdhxkhw/edit?usp=sharing"",""อ่างทอง!J375"")"),0)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IFERROR(__xludf.DUMMYFUNCTION("IMPORTRANGE(""https://docs.google.com/spreadsheets/d/1SX6NBoVAgQJ6U1MVXOaj8PK2l7WJ3RER9xtqwdhxkhw/edit?usp=sharing"",""อ่างทอง!I376"")"),0)</f>
        <v>0</v>
      </c>
      <c r="J481" s="420">
        <f ca="1">IFERROR(__xludf.DUMMYFUNCTION("IMPORTRANGE(""https://docs.google.com/spreadsheets/d/1SX6NBoVAgQJ6U1MVXOaj8PK2l7WJ3RER9xtqwdhxkhw/edit?usp=sharing"",""อ่างทอง!J376"")"),0)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IFERROR(__xludf.DUMMYFUNCTION("IMPORTRANGE(""https://docs.google.com/spreadsheets/d/1SX6NBoVAgQJ6U1MVXOaj8PK2l7WJ3RER9xtqwdhxkhw/edit?usp=sharing"",""อ่างทอง!I377"")"),0)</f>
        <v>0</v>
      </c>
      <c r="J482" s="420">
        <f ca="1">IFERROR(__xludf.DUMMYFUNCTION("IMPORTRANGE(""https://docs.google.com/spreadsheets/d/1SX6NBoVAgQJ6U1MVXOaj8PK2l7WJ3RER9xtqwdhxkhw/edit?usp=sharing"",""อ่างทอง!J377"")"),0)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IFERROR(__xludf.DUMMYFUNCTION("IMPORTRANGE(""https://docs.google.com/spreadsheets/d/1SX6NBoVAgQJ6U1MVXOaj8PK2l7WJ3RER9xtqwdhxkhw/edit?usp=sharing"",""อ่างทอง!I378"")"),0)</f>
        <v>0</v>
      </c>
      <c r="J483" s="189">
        <f ca="1">IFERROR(__xludf.DUMMYFUNCTION("IMPORTRANGE(""https://docs.google.com/spreadsheets/d/1SX6NBoVAgQJ6U1MVXOaj8PK2l7WJ3RER9xtqwdhxkhw/edit?usp=sharing"",""อ่างทอง!J378"")"),0)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IFERROR(__xludf.DUMMYFUNCTION("IMPORTRANGE(""https://docs.google.com/spreadsheets/d/1SX6NBoVAgQJ6U1MVXOaj8PK2l7WJ3RER9xtqwdhxkhw/edit?usp=sharing"",""อ่างทอง!I379"")"),0)</f>
        <v>0</v>
      </c>
      <c r="J484" s="189">
        <f ca="1">IFERROR(__xludf.DUMMYFUNCTION("IMPORTRANGE(""https://docs.google.com/spreadsheets/d/1SX6NBoVAgQJ6U1MVXOaj8PK2l7WJ3RER9xtqwdhxkhw/edit?usp=sharing"",""อ่างทอง!J379"")"),0)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IFERROR(__xludf.DUMMYFUNCTION("IMPORTRANGE(""https://docs.google.com/spreadsheets/d/1SX6NBoVAgQJ6U1MVXOaj8PK2l7WJ3RER9xtqwdhxkhw/edit?usp=sharing"",""อ่างทอง!I380"")"),0)</f>
        <v>0</v>
      </c>
      <c r="J485" s="189">
        <f ca="1">IFERROR(__xludf.DUMMYFUNCTION("IMPORTRANGE(""https://docs.google.com/spreadsheets/d/1SX6NBoVAgQJ6U1MVXOaj8PK2l7WJ3RER9xtqwdhxkhw/edit?usp=sharing"",""อ่างทอง!J380"")"),0)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IFERROR(__xludf.DUMMYFUNCTION("IMPORTRANGE(""https://docs.google.com/spreadsheets/d/1SX6NBoVAgQJ6U1MVXOaj8PK2l7WJ3RER9xtqwdhxkhw/edit?usp=sharing"",""อ่างทอง!I381"")"),0)</f>
        <v>0</v>
      </c>
      <c r="J486" s="189">
        <f ca="1">IFERROR(__xludf.DUMMYFUNCTION("IMPORTRANGE(""https://docs.google.com/spreadsheets/d/1SX6NBoVAgQJ6U1MVXOaj8PK2l7WJ3RER9xtqwdhxkhw/edit?usp=sharing"",""อ่างทอง!J381"")"),0)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IFERROR(__xludf.DUMMYFUNCTION("IMPORTRANGE(""https://docs.google.com/spreadsheets/d/1SX6NBoVAgQJ6U1MVXOaj8PK2l7WJ3RER9xtqwdhxkhw/edit?usp=sharing"",""อ่างทอง!I382"")"),0)</f>
        <v>0</v>
      </c>
      <c r="J487" s="420">
        <f ca="1">IFERROR(__xludf.DUMMYFUNCTION("IMPORTRANGE(""https://docs.google.com/spreadsheets/d/1SX6NBoVAgQJ6U1MVXOaj8PK2l7WJ3RER9xtqwdhxkhw/edit?usp=sharing"",""อ่างทอง!J382"")"),0)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IFERROR(__xludf.DUMMYFUNCTION("IMPORTRANGE(""https://docs.google.com/spreadsheets/d/1SX6NBoVAgQJ6U1MVXOaj8PK2l7WJ3RER9xtqwdhxkhw/edit?usp=sharing"",""อ่างทอง!I383"")"),0)</f>
        <v>0</v>
      </c>
      <c r="J488" s="420">
        <f ca="1">IFERROR(__xludf.DUMMYFUNCTION("IMPORTRANGE(""https://docs.google.com/spreadsheets/d/1SX6NBoVAgQJ6U1MVXOaj8PK2l7WJ3RER9xtqwdhxkhw/edit?usp=sharing"",""อ่างทอง!J383"")"),0)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IFERROR(__xludf.DUMMYFUNCTION("IMPORTRANGE(""https://docs.google.com/spreadsheets/d/1SX6NBoVAgQJ6U1MVXOaj8PK2l7WJ3RER9xtqwdhxkhw/edit?usp=sharing"",""อ่างทอง!I384"")"),0)</f>
        <v>0</v>
      </c>
      <c r="J489" s="189">
        <f ca="1">IFERROR(__xludf.DUMMYFUNCTION("IMPORTRANGE(""https://docs.google.com/spreadsheets/d/1SX6NBoVAgQJ6U1MVXOaj8PK2l7WJ3RER9xtqwdhxkhw/edit?usp=sharing"",""อ่างทอง!J384"")"),0)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IFERROR(__xludf.DUMMYFUNCTION("IMPORTRANGE(""https://docs.google.com/spreadsheets/d/1SX6NBoVAgQJ6U1MVXOaj8PK2l7WJ3RER9xtqwdhxkhw/edit?usp=sharing"",""อ่างทอง!I385"")"),0)</f>
        <v>0</v>
      </c>
      <c r="J490" s="189">
        <f ca="1">IFERROR(__xludf.DUMMYFUNCTION("IMPORTRANGE(""https://docs.google.com/spreadsheets/d/1SX6NBoVAgQJ6U1MVXOaj8PK2l7WJ3RER9xtqwdhxkhw/edit?usp=sharing"",""อ่างทอง!J385"")"),0)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IFERROR(__xludf.DUMMYFUNCTION("IMPORTRANGE(""https://docs.google.com/spreadsheets/d/1SX6NBoVAgQJ6U1MVXOaj8PK2l7WJ3RER9xtqwdhxkhw/edit?usp=sharing"",""อ่างทอง!I386"")"),0)</f>
        <v>0</v>
      </c>
      <c r="J491" s="189">
        <f ca="1">IFERROR(__xludf.DUMMYFUNCTION("IMPORTRANGE(""https://docs.google.com/spreadsheets/d/1SX6NBoVAgQJ6U1MVXOaj8PK2l7WJ3RER9xtqwdhxkhw/edit?usp=sharing"",""อ่างทอง!J386"")"),0)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IFERROR(__xludf.DUMMYFUNCTION("IMPORTRANGE(""https://docs.google.com/spreadsheets/d/1SX6NBoVAgQJ6U1MVXOaj8PK2l7WJ3RER9xtqwdhxkhw/edit?usp=sharing"",""อ่างทอง!I387"")"),0)</f>
        <v>0</v>
      </c>
      <c r="J492" s="189">
        <f ca="1">IFERROR(__xludf.DUMMYFUNCTION("IMPORTRANGE(""https://docs.google.com/spreadsheets/d/1SX6NBoVAgQJ6U1MVXOaj8PK2l7WJ3RER9xtqwdhxkhw/edit?usp=sharing"",""อ่างทอง!J387"")"),0)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IFERROR(__xludf.DUMMYFUNCTION("IMPORTRANGE(""https://docs.google.com/spreadsheets/d/1SX6NBoVAgQJ6U1MVXOaj8PK2l7WJ3RER9xtqwdhxkhw/edit?usp=sharing"",""อ่างทอง!I388"")"),0)</f>
        <v>0</v>
      </c>
      <c r="J493" s="189">
        <f ca="1">IFERROR(__xludf.DUMMYFUNCTION("IMPORTRANGE(""https://docs.google.com/spreadsheets/d/1SX6NBoVAgQJ6U1MVXOaj8PK2l7WJ3RER9xtqwdhxkhw/edit?usp=sharing"",""อ่างทอง!J388"")"),0)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IFERROR(__xludf.DUMMYFUNCTION("IMPORTRANGE(""https://docs.google.com/spreadsheets/d/1SX6NBoVAgQJ6U1MVXOaj8PK2l7WJ3RER9xtqwdhxkhw/edit?usp=sharing"",""อ่างทอง!I389"")"),0)</f>
        <v>0</v>
      </c>
      <c r="J494" s="436">
        <f ca="1">IFERROR(__xludf.DUMMYFUNCTION("IMPORTRANGE(""https://docs.google.com/spreadsheets/d/1SX6NBoVAgQJ6U1MVXOaj8PK2l7WJ3RER9xtqwdhxkhw/edit?usp=sharing"",""อ่างทอง!J389"")"),0)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IFERROR(__xludf.DUMMYFUNCTION("IMPORTRANGE(""https://docs.google.com/spreadsheets/d/1SX6NBoVAgQJ6U1MVXOaj8PK2l7WJ3RER9xtqwdhxkhw/edit?usp=sharing"",""อ่างทอง!I390"")"),0)</f>
        <v>0</v>
      </c>
      <c r="J495" s="436">
        <f ca="1">IFERROR(__xludf.DUMMYFUNCTION("IMPORTRANGE(""https://docs.google.com/spreadsheets/d/1SX6NBoVAgQJ6U1MVXOaj8PK2l7WJ3RER9xtqwdhxkhw/edit?usp=sharing"",""อ่างทอง!J390"")"),0)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IFERROR(__xludf.DUMMYFUNCTION("IMPORTRANGE(""https://docs.google.com/spreadsheets/d/1SX6NBoVAgQJ6U1MVXOaj8PK2l7WJ3RER9xtqwdhxkhw/edit?usp=sharing"",""อ่างทอง!I391"")"),0)</f>
        <v>0</v>
      </c>
      <c r="J496" s="436">
        <f ca="1">IFERROR(__xludf.DUMMYFUNCTION("IMPORTRANGE(""https://docs.google.com/spreadsheets/d/1SX6NBoVAgQJ6U1MVXOaj8PK2l7WJ3RER9xtqwdhxkhw/edit?usp=sharing"",""อ่างทอง!J391"")"),0)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IFERROR(__xludf.DUMMYFUNCTION("IMPORTRANGE(""https://docs.google.com/spreadsheets/d/1SX6NBoVAgQJ6U1MVXOaj8PK2l7WJ3RER9xtqwdhxkhw/edit?usp=sharing"",""อ่างทอง!I392"")"),0)</f>
        <v>0</v>
      </c>
      <c r="J497" s="443">
        <f ca="1">IFERROR(__xludf.DUMMYFUNCTION("IMPORTRANGE(""https://docs.google.com/spreadsheets/d/1SX6NBoVAgQJ6U1MVXOaj8PK2l7WJ3RER9xtqwdhxkhw/edit?usp=sharing"",""อ่างทอง!J392"")"),0)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IFERROR(__xludf.DUMMYFUNCTION("IMPORTRANGE(""https://docs.google.com/spreadsheets/d/1SX6NBoVAgQJ6U1MVXOaj8PK2l7WJ3RER9xtqwdhxkhw/edit?usp=sharing"",""อ่างทอง!I393"")"),0)</f>
        <v>0</v>
      </c>
      <c r="J498" s="420">
        <f ca="1">IFERROR(__xludf.DUMMYFUNCTION("IMPORTRANGE(""https://docs.google.com/spreadsheets/d/1SX6NBoVAgQJ6U1MVXOaj8PK2l7WJ3RER9xtqwdhxkhw/edit?usp=sharing"",""อ่างทอง!J393"")"),0)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IFERROR(__xludf.DUMMYFUNCTION("IMPORTRANGE(""https://docs.google.com/spreadsheets/d/1SX6NBoVAgQJ6U1MVXOaj8PK2l7WJ3RER9xtqwdhxkhw/edit?usp=sharing"",""อ่างทอง!I394"")"),0)</f>
        <v>0</v>
      </c>
      <c r="J499" s="420">
        <f ca="1">IFERROR(__xludf.DUMMYFUNCTION("IMPORTRANGE(""https://docs.google.com/spreadsheets/d/1SX6NBoVAgQJ6U1MVXOaj8PK2l7WJ3RER9xtqwdhxkhw/edit?usp=sharing"",""อ่างทอง!J394"")"),0)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IFERROR(__xludf.DUMMYFUNCTION("IMPORTRANGE(""https://docs.google.com/spreadsheets/d/1SX6NBoVAgQJ6U1MVXOaj8PK2l7WJ3RER9xtqwdhxkhw/edit?usp=sharing"",""อ่างทอง!I395"")"),0)</f>
        <v>0</v>
      </c>
      <c r="J500" s="162">
        <f ca="1">IFERROR(__xludf.DUMMYFUNCTION("IMPORTRANGE(""https://docs.google.com/spreadsheets/d/1SX6NBoVAgQJ6U1MVXOaj8PK2l7WJ3RER9xtqwdhxkhw/edit?usp=sharing"",""อ่างทอง!J395"")"),0)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IFERROR(__xludf.DUMMYFUNCTION("IMPORTRANGE(""https://docs.google.com/spreadsheets/d/1SX6NBoVAgQJ6U1MVXOaj8PK2l7WJ3RER9xtqwdhxkhw/edit?usp=sharing"",""อ่างทอง!I396"")"),0)</f>
        <v>0</v>
      </c>
      <c r="J501" s="162">
        <f ca="1">IFERROR(__xludf.DUMMYFUNCTION("IMPORTRANGE(""https://docs.google.com/spreadsheets/d/1SX6NBoVAgQJ6U1MVXOaj8PK2l7WJ3RER9xtqwdhxkhw/edit?usp=sharing"",""อ่างทอง!J396"")"),0)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IFERROR(__xludf.DUMMYFUNCTION("IMPORTRANGE(""https://docs.google.com/spreadsheets/d/1SX6NBoVAgQJ6U1MVXOaj8PK2l7WJ3RER9xtqwdhxkhw/edit?usp=sharing"",""อ่างทอง!I397"")"),0)</f>
        <v>0</v>
      </c>
      <c r="J502" s="189">
        <f ca="1">IFERROR(__xludf.DUMMYFUNCTION("IMPORTRANGE(""https://docs.google.com/spreadsheets/d/1SX6NBoVAgQJ6U1MVXOaj8PK2l7WJ3RER9xtqwdhxkhw/edit?usp=sharing"",""อ่างทอง!J397"")"),0)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IFERROR(__xludf.DUMMYFUNCTION("IMPORTRANGE(""https://docs.google.com/spreadsheets/d/1SX6NBoVAgQJ6U1MVXOaj8PK2l7WJ3RER9xtqwdhxkhw/edit?usp=sharing"",""อ่างทอง!I398"")"),0)</f>
        <v>0</v>
      </c>
      <c r="J503" s="198">
        <f ca="1">IFERROR(__xludf.DUMMYFUNCTION("IMPORTRANGE(""https://docs.google.com/spreadsheets/d/1SX6NBoVAgQJ6U1MVXOaj8PK2l7WJ3RER9xtqwdhxkhw/edit?usp=sharing"",""อ่างทอง!J398"")"),0)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IFERROR(__xludf.DUMMYFUNCTION("IMPORTRANGE(""https://docs.google.com/spreadsheets/d/1SX6NBoVAgQJ6U1MVXOaj8PK2l7WJ3RER9xtqwdhxkhw/edit?usp=sharing"",""อ่างทอง!I399"")"),0)</f>
        <v>0</v>
      </c>
      <c r="J504" s="189">
        <f ca="1">IFERROR(__xludf.DUMMYFUNCTION("IMPORTRANGE(""https://docs.google.com/spreadsheets/d/1SX6NBoVAgQJ6U1MVXOaj8PK2l7WJ3RER9xtqwdhxkhw/edit?usp=sharing"",""อ่างทอง!J399"")"),0)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IFERROR(__xludf.DUMMYFUNCTION("IMPORTRANGE(""https://docs.google.com/spreadsheets/d/1SX6NBoVAgQJ6U1MVXOaj8PK2l7WJ3RER9xtqwdhxkhw/edit?usp=sharing"",""อ่างทอง!I400"")"),0)</f>
        <v>0</v>
      </c>
      <c r="J505" s="198">
        <f ca="1">IFERROR(__xludf.DUMMYFUNCTION("IMPORTRANGE(""https://docs.google.com/spreadsheets/d/1SX6NBoVAgQJ6U1MVXOaj8PK2l7WJ3RER9xtqwdhxkhw/edit?usp=sharing"",""อ่างทอง!J400"")"),0)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IFERROR(__xludf.DUMMYFUNCTION("IMPORTRANGE(""https://docs.google.com/spreadsheets/d/1SX6NBoVAgQJ6U1MVXOaj8PK2l7WJ3RER9xtqwdhxkhw/edit?usp=sharing"",""อ่างทอง!I401"")"),0)</f>
        <v>0</v>
      </c>
      <c r="J506" s="189">
        <f ca="1">IFERROR(__xludf.DUMMYFUNCTION("IMPORTRANGE(""https://docs.google.com/spreadsheets/d/1SX6NBoVAgQJ6U1MVXOaj8PK2l7WJ3RER9xtqwdhxkhw/edit?usp=sharing"",""อ่างทอง!J401"")"),0)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IFERROR(__xludf.DUMMYFUNCTION("IMPORTRANGE(""https://docs.google.com/spreadsheets/d/1SX6NBoVAgQJ6U1MVXOaj8PK2l7WJ3RER9xtqwdhxkhw/edit?usp=sharing"",""อ่างทอง!I402"")"),0)</f>
        <v>0</v>
      </c>
      <c r="J507" s="198">
        <f ca="1">IFERROR(__xludf.DUMMYFUNCTION("IMPORTRANGE(""https://docs.google.com/spreadsheets/d/1SX6NBoVAgQJ6U1MVXOaj8PK2l7WJ3RER9xtqwdhxkhw/edit?usp=sharing"",""อ่างทอง!J402"")"),0)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IFERROR(__xludf.DUMMYFUNCTION("IMPORTRANGE(""https://docs.google.com/spreadsheets/d/1SX6NBoVAgQJ6U1MVXOaj8PK2l7WJ3RER9xtqwdhxkhw/edit?usp=sharing"",""อ่างทอง!I403"")"),0)</f>
        <v>0</v>
      </c>
      <c r="J508" s="162">
        <f ca="1">IFERROR(__xludf.DUMMYFUNCTION("IMPORTRANGE(""https://docs.google.com/spreadsheets/d/1SX6NBoVAgQJ6U1MVXOaj8PK2l7WJ3RER9xtqwdhxkhw/edit?usp=sharing"",""อ่างทอง!J403"")"),0)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IFERROR(__xludf.DUMMYFUNCTION("IMPORTRANGE(""https://docs.google.com/spreadsheets/d/1SX6NBoVAgQJ6U1MVXOaj8PK2l7WJ3RER9xtqwdhxkhw/edit?usp=sharing"",""อ่างทอง!I404"")"),0)</f>
        <v>0</v>
      </c>
      <c r="J509" s="162">
        <f ca="1">IFERROR(__xludf.DUMMYFUNCTION("IMPORTRANGE(""https://docs.google.com/spreadsheets/d/1SX6NBoVAgQJ6U1MVXOaj8PK2l7WJ3RER9xtqwdhxkhw/edit?usp=sharing"",""อ่างทอง!J404"")"),0)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IFERROR(__xludf.DUMMYFUNCTION("IMPORTRANGE(""https://docs.google.com/spreadsheets/d/1SX6NBoVAgQJ6U1MVXOaj8PK2l7WJ3RER9xtqwdhxkhw/edit?usp=sharing"",""อ่างทอง!I405"")"),0)</f>
        <v>0</v>
      </c>
      <c r="J510" s="198">
        <f ca="1">IFERROR(__xludf.DUMMYFUNCTION("IMPORTRANGE(""https://docs.google.com/spreadsheets/d/1SX6NBoVAgQJ6U1MVXOaj8PK2l7WJ3RER9xtqwdhxkhw/edit?usp=sharing"",""อ่างทอง!J405"")"),0)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IFERROR(__xludf.DUMMYFUNCTION("IMPORTRANGE(""https://docs.google.com/spreadsheets/d/1SX6NBoVAgQJ6U1MVXOaj8PK2l7WJ3RER9xtqwdhxkhw/edit?usp=sharing"",""อ่างทอง!I406"")"),0)</f>
        <v>0</v>
      </c>
      <c r="J511" s="198">
        <f ca="1">IFERROR(__xludf.DUMMYFUNCTION("IMPORTRANGE(""https://docs.google.com/spreadsheets/d/1SX6NBoVAgQJ6U1MVXOaj8PK2l7WJ3RER9xtqwdhxkhw/edit?usp=sharing"",""อ่างทอง!J406"")"),0)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IFERROR(__xludf.DUMMYFUNCTION("IMPORTRANGE(""https://docs.google.com/spreadsheets/d/1SX6NBoVAgQJ6U1MVXOaj8PK2l7WJ3RER9xtqwdhxkhw/edit?usp=sharing"",""อ่างทอง!I407"")"),0)</f>
        <v>0</v>
      </c>
      <c r="J512" s="198">
        <f ca="1">IFERROR(__xludf.DUMMYFUNCTION("IMPORTRANGE(""https://docs.google.com/spreadsheets/d/1SX6NBoVAgQJ6U1MVXOaj8PK2l7WJ3RER9xtqwdhxkhw/edit?usp=sharing"",""อ่างทอง!J407"")"),0)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IFERROR(__xludf.DUMMYFUNCTION("IMPORTRANGE(""https://docs.google.com/spreadsheets/d/1SX6NBoVAgQJ6U1MVXOaj8PK2l7WJ3RER9xtqwdhxkhw/edit?usp=sharing"",""อ่างทอง!I408"")"),0)</f>
        <v>0</v>
      </c>
      <c r="J513" s="198">
        <f ca="1">IFERROR(__xludf.DUMMYFUNCTION("IMPORTRANGE(""https://docs.google.com/spreadsheets/d/1SX6NBoVAgQJ6U1MVXOaj8PK2l7WJ3RER9xtqwdhxkhw/edit?usp=sharing"",""อ่างทอง!J408"")"),0)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IFERROR(__xludf.DUMMYFUNCTION("IMPORTRANGE(""https://docs.google.com/spreadsheets/d/1SX6NBoVAgQJ6U1MVXOaj8PK2l7WJ3RER9xtqwdhxkhw/edit?usp=sharing"",""อ่างทอง!I409"")"),0)</f>
        <v>0</v>
      </c>
      <c r="J514" s="198">
        <f ca="1">IFERROR(__xludf.DUMMYFUNCTION("IMPORTRANGE(""https://docs.google.com/spreadsheets/d/1SX6NBoVAgQJ6U1MVXOaj8PK2l7WJ3RER9xtqwdhxkhw/edit?usp=sharing"",""อ่างทอง!J409"")"),0)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IFERROR(__xludf.DUMMYFUNCTION("IMPORTRANGE(""https://docs.google.com/spreadsheets/d/1SX6NBoVAgQJ6U1MVXOaj8PK2l7WJ3RER9xtqwdhxkhw/edit?usp=sharing"",""อ่างทอง!I410"")"),0)</f>
        <v>0</v>
      </c>
      <c r="J515" s="198">
        <f ca="1">IFERROR(__xludf.DUMMYFUNCTION("IMPORTRANGE(""https://docs.google.com/spreadsheets/d/1SX6NBoVAgQJ6U1MVXOaj8PK2l7WJ3RER9xtqwdhxkhw/edit?usp=sharing"",""อ่างทอง!J410"")"),0)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IFERROR(__xludf.DUMMYFUNCTION("IMPORTRANGE(""https://docs.google.com/spreadsheets/d/1SX6NBoVAgQJ6U1MVXOaj8PK2l7WJ3RER9xtqwdhxkhw/edit?usp=sharing"",""อ่างทอง!I411"")"),0)</f>
        <v>0</v>
      </c>
      <c r="J516" s="268">
        <f ca="1">IFERROR(__xludf.DUMMYFUNCTION("IMPORTRANGE(""https://docs.google.com/spreadsheets/d/1SX6NBoVAgQJ6U1MVXOaj8PK2l7WJ3RER9xtqwdhxkhw/edit?usp=sharing"",""อ่างทอง!J411"")"),0)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IFERROR(__xludf.DUMMYFUNCTION("IMPORTRANGE(""https://docs.google.com/spreadsheets/d/1SX6NBoVAgQJ6U1MVXOaj8PK2l7WJ3RER9xtqwdhxkhw/edit?usp=sharing"",""อ่างทอง!I412"")"),0)</f>
        <v>0</v>
      </c>
      <c r="J517" s="285">
        <f ca="1">IFERROR(__xludf.DUMMYFUNCTION("IMPORTRANGE(""https://docs.google.com/spreadsheets/d/1SX6NBoVAgQJ6U1MVXOaj8PK2l7WJ3RER9xtqwdhxkhw/edit?usp=sharing"",""อ่างทอง!J412"")"),0)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IFERROR(__xludf.DUMMYFUNCTION("IMPORTRANGE(""https://docs.google.com/spreadsheets/d/1SX6NBoVAgQJ6U1MVXOaj8PK2l7WJ3RER9xtqwdhxkhw/edit?usp=sharing"",""อ่างทอง!I413"")"),0)</f>
        <v>0</v>
      </c>
      <c r="J518" s="285">
        <f ca="1">IFERROR(__xludf.DUMMYFUNCTION("IMPORTRANGE(""https://docs.google.com/spreadsheets/d/1SX6NBoVAgQJ6U1MVXOaj8PK2l7WJ3RER9xtqwdhxkhw/edit?usp=sharing"",""อ่างทอง!J413"")"),0)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IFERROR(__xludf.DUMMYFUNCTION("IMPORTRANGE(""https://docs.google.com/spreadsheets/d/1SX6NBoVAgQJ6U1MVXOaj8PK2l7WJ3RER9xtqwdhxkhw/edit?usp=sharing"",""อ่างทอง!I414"")"),0)</f>
        <v>0</v>
      </c>
      <c r="J519" s="188">
        <f ca="1">IFERROR(__xludf.DUMMYFUNCTION("IMPORTRANGE(""https://docs.google.com/spreadsheets/d/1SX6NBoVAgQJ6U1MVXOaj8PK2l7WJ3RER9xtqwdhxkhw/edit?usp=sharing"",""อ่างทอง!J414"")"),0)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IFERROR(__xludf.DUMMYFUNCTION("IMPORTRANGE(""https://docs.google.com/spreadsheets/d/1SX6NBoVAgQJ6U1MVXOaj8PK2l7WJ3RER9xtqwdhxkhw/edit?usp=sharing"",""อ่างทอง!I415"")"),0)</f>
        <v>0</v>
      </c>
      <c r="J520" s="188">
        <f ca="1">IFERROR(__xludf.DUMMYFUNCTION("IMPORTRANGE(""https://docs.google.com/spreadsheets/d/1SX6NBoVAgQJ6U1MVXOaj8PK2l7WJ3RER9xtqwdhxkhw/edit?usp=sharing"",""อ่างทอง!J415"")"),0)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IFERROR(__xludf.DUMMYFUNCTION("IMPORTRANGE(""https://docs.google.com/spreadsheets/d/1SX6NBoVAgQJ6U1MVXOaj8PK2l7WJ3RER9xtqwdhxkhw/edit?usp=sharing"",""อ่างทอง!I416"")"),0)</f>
        <v>0</v>
      </c>
      <c r="J521" s="188">
        <f ca="1">IFERROR(__xludf.DUMMYFUNCTION("IMPORTRANGE(""https://docs.google.com/spreadsheets/d/1SX6NBoVAgQJ6U1MVXOaj8PK2l7WJ3RER9xtqwdhxkhw/edit?usp=sharing"",""อ่างทอง!J416"")"),0)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IFERROR(__xludf.DUMMYFUNCTION("IMPORTRANGE(""https://docs.google.com/spreadsheets/d/1SX6NBoVAgQJ6U1MVXOaj8PK2l7WJ3RER9xtqwdhxkhw/edit?usp=sharing"",""อ่างทอง!I417"")"),0)</f>
        <v>0</v>
      </c>
      <c r="J522" s="188">
        <f ca="1">IFERROR(__xludf.DUMMYFUNCTION("IMPORTRANGE(""https://docs.google.com/spreadsheets/d/1SX6NBoVAgQJ6U1MVXOaj8PK2l7WJ3RER9xtqwdhxkhw/edit?usp=sharing"",""อ่างทอง!J417"")"),0)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IFERROR(__xludf.DUMMYFUNCTION("IMPORTRANGE(""https://docs.google.com/spreadsheets/d/1SX6NBoVAgQJ6U1MVXOaj8PK2l7WJ3RER9xtqwdhxkhw/edit?usp=sharing"",""อ่างทอง!I418"")"),0)</f>
        <v>0</v>
      </c>
      <c r="J523" s="188">
        <f ca="1">IFERROR(__xludf.DUMMYFUNCTION("IMPORTRANGE(""https://docs.google.com/spreadsheets/d/1SX6NBoVAgQJ6U1MVXOaj8PK2l7WJ3RER9xtqwdhxkhw/edit?usp=sharing"",""อ่างทอง!J418"")"),0)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IFERROR(__xludf.DUMMYFUNCTION("IMPORTRANGE(""https://docs.google.com/spreadsheets/d/1SX6NBoVAgQJ6U1MVXOaj8PK2l7WJ3RER9xtqwdhxkhw/edit?usp=sharing"",""อ่างทอง!I419"")"),0)</f>
        <v>0</v>
      </c>
      <c r="J524" s="188">
        <f ca="1">IFERROR(__xludf.DUMMYFUNCTION("IMPORTRANGE(""https://docs.google.com/spreadsheets/d/1SX6NBoVAgQJ6U1MVXOaj8PK2l7WJ3RER9xtqwdhxkhw/edit?usp=sharing"",""อ่างทอง!J419"")"),0)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IFERROR(__xludf.DUMMYFUNCTION("IMPORTRANGE(""https://docs.google.com/spreadsheets/d/1SX6NBoVAgQJ6U1MVXOaj8PK2l7WJ3RER9xtqwdhxkhw/edit?usp=sharing"",""อ่างทอง!I420"")"),0)</f>
        <v>0</v>
      </c>
      <c r="J525" s="285">
        <f ca="1">IFERROR(__xludf.DUMMYFUNCTION("IMPORTRANGE(""https://docs.google.com/spreadsheets/d/1SX6NBoVAgQJ6U1MVXOaj8PK2l7WJ3RER9xtqwdhxkhw/edit?usp=sharing"",""อ่างทอง!J420"")"),0)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IFERROR(__xludf.DUMMYFUNCTION("IMPORTRANGE(""https://docs.google.com/spreadsheets/d/1SX6NBoVAgQJ6U1MVXOaj8PK2l7WJ3RER9xtqwdhxkhw/edit?usp=sharing"",""อ่างทอง!I421"")"),0)</f>
        <v>0</v>
      </c>
      <c r="J526" s="285">
        <f ca="1">IFERROR(__xludf.DUMMYFUNCTION("IMPORTRANGE(""https://docs.google.com/spreadsheets/d/1SX6NBoVAgQJ6U1MVXOaj8PK2l7WJ3RER9xtqwdhxkhw/edit?usp=sharing"",""อ่างทอง!J421"")"),0)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IFERROR(__xludf.DUMMYFUNCTION("IMPORTRANGE(""https://docs.google.com/spreadsheets/d/1SX6NBoVAgQJ6U1MVXOaj8PK2l7WJ3RER9xtqwdhxkhw/edit?usp=sharing"",""อ่างทอง!I422"")"),0)</f>
        <v>0</v>
      </c>
      <c r="J527" s="198">
        <f ca="1">IFERROR(__xludf.DUMMYFUNCTION("IMPORTRANGE(""https://docs.google.com/spreadsheets/d/1SX6NBoVAgQJ6U1MVXOaj8PK2l7WJ3RER9xtqwdhxkhw/edit?usp=sharing"",""อ่างทอง!J422"")"),0)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IFERROR(__xludf.DUMMYFUNCTION("IMPORTRANGE(""https://docs.google.com/spreadsheets/d/1SX6NBoVAgQJ6U1MVXOaj8PK2l7WJ3RER9xtqwdhxkhw/edit?usp=sharing"",""อ่างทอง!I423"")"),0)</f>
        <v>0</v>
      </c>
      <c r="J528" s="198">
        <f ca="1">IFERROR(__xludf.DUMMYFUNCTION("IMPORTRANGE(""https://docs.google.com/spreadsheets/d/1SX6NBoVAgQJ6U1MVXOaj8PK2l7WJ3RER9xtqwdhxkhw/edit?usp=sharing"",""อ่างทอง!J423"")"),0)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IFERROR(__xludf.DUMMYFUNCTION("IMPORTRANGE(""https://docs.google.com/spreadsheets/d/1SX6NBoVAgQJ6U1MVXOaj8PK2l7WJ3RER9xtqwdhxkhw/edit?usp=sharing"",""อ่างทอง!I424"")"),0)</f>
        <v>0</v>
      </c>
      <c r="J529" s="198">
        <f ca="1">IFERROR(__xludf.DUMMYFUNCTION("IMPORTRANGE(""https://docs.google.com/spreadsheets/d/1SX6NBoVAgQJ6U1MVXOaj8PK2l7WJ3RER9xtqwdhxkhw/edit?usp=sharing"",""อ่างทอง!J424"")"),0)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IFERROR(__xludf.DUMMYFUNCTION("IMPORTRANGE(""https://docs.google.com/spreadsheets/d/1SX6NBoVAgQJ6U1MVXOaj8PK2l7WJ3RER9xtqwdhxkhw/edit?usp=sharing"",""อ่างทอง!I425"")"),0)</f>
        <v>0</v>
      </c>
      <c r="J530" s="198">
        <f ca="1">IFERROR(__xludf.DUMMYFUNCTION("IMPORTRANGE(""https://docs.google.com/spreadsheets/d/1SX6NBoVAgQJ6U1MVXOaj8PK2l7WJ3RER9xtqwdhxkhw/edit?usp=sharing"",""อ่างทอง!J425"")"),0)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IFERROR(__xludf.DUMMYFUNCTION("IMPORTRANGE(""https://docs.google.com/spreadsheets/d/1SX6NBoVAgQJ6U1MVXOaj8PK2l7WJ3RER9xtqwdhxkhw/edit?usp=sharing"",""อ่างทอง!I426"")"),0)</f>
        <v>0</v>
      </c>
      <c r="J531" s="198">
        <f ca="1">IFERROR(__xludf.DUMMYFUNCTION("IMPORTRANGE(""https://docs.google.com/spreadsheets/d/1SX6NBoVAgQJ6U1MVXOaj8PK2l7WJ3RER9xtqwdhxkhw/edit?usp=sharing"",""อ่างทอง!J426"")"),0)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IFERROR(__xludf.DUMMYFUNCTION("IMPORTRANGE(""https://docs.google.com/spreadsheets/d/1SX6NBoVAgQJ6U1MVXOaj8PK2l7WJ3RER9xtqwdhxkhw/edit?usp=sharing"",""อ่างทอง!I427"")"),0)</f>
        <v>0</v>
      </c>
      <c r="J532" s="466">
        <f ca="1">IFERROR(__xludf.DUMMYFUNCTION("IMPORTRANGE(""https://docs.google.com/spreadsheets/d/1SX6NBoVAgQJ6U1MVXOaj8PK2l7WJ3RER9xtqwdhxkhw/edit?usp=sharing"",""อ่างทอง!J427"")"),0)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IFERROR(__xludf.DUMMYFUNCTION("IMPORTRANGE(""https://docs.google.com/spreadsheets/d/1SX6NBoVAgQJ6U1MVXOaj8PK2l7WJ3RER9xtqwdhxkhw/edit?usp=sharing"",""อ่างทอง!I428"")"),10)</f>
        <v>10</v>
      </c>
      <c r="J533" s="410">
        <f ca="1">IFERROR(__xludf.DUMMYFUNCTION("IMPORTRANGE(""https://docs.google.com/spreadsheets/d/1SX6NBoVAgQJ6U1MVXOaj8PK2l7WJ3RER9xtqwdhxkhw/edit?usp=sharing"",""อ่างทอง!J428"")"),10)</f>
        <v>10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IFERROR(__xludf.DUMMYFUNCTION("IMPORTRANGE(""https://docs.google.com/spreadsheets/d/1SX6NBoVAgQJ6U1MVXOaj8PK2l7WJ3RER9xtqwdhxkhw/edit?usp=sharing"",""อ่างทอง!L428"")"),24140)</f>
        <v>24140</v>
      </c>
      <c r="M533" s="412"/>
      <c r="N533" s="412">
        <f ca="1">IFERROR(__xludf.DUMMYFUNCTION("IMPORTRANGE(""https://docs.google.com/spreadsheets/d/1SX6NBoVAgQJ6U1MVXOaj8PK2l7WJ3RER9xtqwdhxkhw/edit?usp=sharing"",""อ่างทอง!M428"")"),5990)</f>
        <v>5990</v>
      </c>
      <c r="O533" s="412">
        <f t="shared" ref="O533:O537" ca="1" si="118">+IF(L533&gt;0,N533*100/L533,0)</f>
        <v>24.813587406793705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IFERROR(__xludf.DUMMYFUNCTION("IMPORTRANGE(""https://docs.google.com/spreadsheets/d/1SX6NBoVAgQJ6U1MVXOaj8PK2l7WJ3RER9xtqwdhxkhw/edit?usp=sharing"",""อ่างทอง!L429"")"),0)</f>
        <v>0</v>
      </c>
      <c r="M534" s="164"/>
      <c r="N534" s="169">
        <f ca="1">IFERROR(__xludf.DUMMYFUNCTION("IMPORTRANGE(""https://docs.google.com/spreadsheets/d/1SX6NBoVAgQJ6U1MVXOaj8PK2l7WJ3RER9xtqwdhxkhw/edit?usp=sharing"",""อ่างทอง!M429"")"),0)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IFERROR(__xludf.DUMMYFUNCTION("IMPORTRANGE(""https://docs.google.com/spreadsheets/d/1SX6NBoVAgQJ6U1MVXOaj8PK2l7WJ3RER9xtqwdhxkhw/edit?usp=sharing"",""อ่างทอง!L430"")"),24140)</f>
        <v>24140</v>
      </c>
      <c r="M535" s="165"/>
      <c r="N535" s="169">
        <f ca="1">IFERROR(__xludf.DUMMYFUNCTION("IMPORTRANGE(""https://docs.google.com/spreadsheets/d/1SX6NBoVAgQJ6U1MVXOaj8PK2l7WJ3RER9xtqwdhxkhw/edit?usp=sharing"",""อ่างทอง!M430"")"),5990)</f>
        <v>5990</v>
      </c>
      <c r="O535" s="169">
        <f t="shared" ca="1" si="118"/>
        <v>24.813587406793705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IFERROR(__xludf.DUMMYFUNCTION("IMPORTRANGE(""https://docs.google.com/spreadsheets/d/1SX6NBoVAgQJ6U1MVXOaj8PK2l7WJ3RER9xtqwdhxkhw/edit?usp=sharing"",""อ่างทอง!L431"")"),0)</f>
        <v>0</v>
      </c>
      <c r="M536" s="169"/>
      <c r="N536" s="169">
        <f ca="1">IFERROR(__xludf.DUMMYFUNCTION("IMPORTRANGE(""https://docs.google.com/spreadsheets/d/1SX6NBoVAgQJ6U1MVXOaj8PK2l7WJ3RER9xtqwdhxkhw/edit?usp=sharing"",""อ่างทอง!M431"")"),0)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IFERROR(__xludf.DUMMYFUNCTION("IMPORTRANGE(""https://docs.google.com/spreadsheets/d/1SX6NBoVAgQJ6U1MVXOaj8PK2l7WJ3RER9xtqwdhxkhw/edit?usp=sharing"",""อ่างทอง!L432"")"),24140)</f>
        <v>24140</v>
      </c>
      <c r="M537" s="169"/>
      <c r="N537" s="169">
        <f ca="1">IFERROR(__xludf.DUMMYFUNCTION("IMPORTRANGE(""https://docs.google.com/spreadsheets/d/1SX6NBoVAgQJ6U1MVXOaj8PK2l7WJ3RER9xtqwdhxkhw/edit?usp=sharing"",""อ่างทอง!M432"")"),5990)</f>
        <v>5990</v>
      </c>
      <c r="O537" s="169">
        <f t="shared" ca="1" si="118"/>
        <v>24.813587406793705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IFERROR(__xludf.DUMMYFUNCTION("IMPORTRANGE(""https://docs.google.com/spreadsheets/d/1SX6NBoVAgQJ6U1MVXOaj8PK2l7WJ3RER9xtqwdhxkhw/edit?usp=sharing"",""อ่างทอง!M433"")"),5990)</f>
        <v>5990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IFERROR(__xludf.DUMMYFUNCTION("IMPORTRANGE(""https://docs.google.com/spreadsheets/d/1SX6NBoVAgQJ6U1MVXOaj8PK2l7WJ3RER9xtqwdhxkhw/edit?usp=sharing"",""อ่างทอง!M434"")"),0)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IFERROR(__xludf.DUMMYFUNCTION("IMPORTRANGE(""https://docs.google.com/spreadsheets/d/1SX6NBoVAgQJ6U1MVXOaj8PK2l7WJ3RER9xtqwdhxkhw/edit?usp=sharing"",""อ่างทอง!M435"")"),0)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IFERROR(__xludf.DUMMYFUNCTION("IMPORTRANGE(""https://docs.google.com/spreadsheets/d/1SX6NBoVAgQJ6U1MVXOaj8PK2l7WJ3RER9xtqwdhxkhw/edit?usp=sharing"",""อ่างทอง!M436"")"),0)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IFERROR(__xludf.DUMMYFUNCTION("IMPORTRANGE(""https://docs.google.com/spreadsheets/d/1SX6NBoVAgQJ6U1MVXOaj8PK2l7WJ3RER9xtqwdhxkhw/edit?usp=sharing"",""อ่างทอง!J438"")"),0)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IFERROR(__xludf.DUMMYFUNCTION("IMPORTRANGE(""https://docs.google.com/spreadsheets/d/1SX6NBoVAgQJ6U1MVXOaj8PK2l7WJ3RER9xtqwdhxkhw/edit?usp=sharing"",""อ่างทอง!J439"")"),1)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IFERROR(__xludf.DUMMYFUNCTION("IMPORTRANGE(""https://docs.google.com/spreadsheets/d/1SX6NBoVAgQJ6U1MVXOaj8PK2l7WJ3RER9xtqwdhxkhw/edit?usp=sharing"",""อ่างทอง!J440"")"),1)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IFERROR(__xludf.DUMMYFUNCTION("IMPORTRANGE(""https://docs.google.com/spreadsheets/d/1SX6NBoVAgQJ6U1MVXOaj8PK2l7WJ3RER9xtqwdhxkhw/edit?usp=sharing"",""อ่างทอง!J441"")"),1)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IFERROR(__xludf.DUMMYFUNCTION("IMPORTRANGE(""https://docs.google.com/spreadsheets/d/1SX6NBoVAgQJ6U1MVXOaj8PK2l7WJ3RER9xtqwdhxkhw/edit?usp=sharing"",""อ่างทอง!I442"")"),10)</f>
        <v>10</v>
      </c>
      <c r="J547" s="189">
        <f ca="1">IFERROR(__xludf.DUMMYFUNCTION("IMPORTRANGE(""https://docs.google.com/spreadsheets/d/1SX6NBoVAgQJ6U1MVXOaj8PK2l7WJ3RER9xtqwdhxkhw/edit?usp=sharing"",""อ่างทอง!J442"")"),10)</f>
        <v>10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IFERROR(__xludf.DUMMYFUNCTION("IMPORTRANGE(""https://docs.google.com/spreadsheets/d/1SX6NBoVAgQJ6U1MVXOaj8PK2l7WJ3RER9xtqwdhxkhw/edit?usp=sharing"",""อ่างทอง!J166"")"),0)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IFERROR(__xludf.DUMMYFUNCTION("IMPORTRANGE(""https://docs.google.com/spreadsheets/d/1SX6NBoVAgQJ6U1MVXOaj8PK2l7WJ3RER9xtqwdhxkhw/edit?usp=sharing"",""อ่างทอง!J444"")"),0)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IFERROR(__xludf.DUMMYFUNCTION("IMPORTRANGE(""https://docs.google.com/spreadsheets/d/1SX6NBoVAgQJ6U1MVXOaj8PK2l7WJ3RER9xtqwdhxkhw/edit?usp=sharing"",""อ่างทอง!J445"")"),0)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IFERROR(__xludf.DUMMYFUNCTION("IMPORTRANGE(""https://docs.google.com/spreadsheets/d/1SX6NBoVAgQJ6U1MVXOaj8PK2l7WJ3RER9xtqwdhxkhw/edit?usp=sharing"",""อ่างทอง!I446"")"),0)</f>
        <v>0</v>
      </c>
      <c r="J551" s="410">
        <f ca="1">IFERROR(__xludf.DUMMYFUNCTION("IMPORTRANGE(""https://docs.google.com/spreadsheets/d/1SX6NBoVAgQJ6U1MVXOaj8PK2l7WJ3RER9xtqwdhxkhw/edit?usp=sharing"",""อ่างทอง!J446"")"),0)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IFERROR(__xludf.DUMMYFUNCTION("IMPORTRANGE(""https://docs.google.com/spreadsheets/d/1SX6NBoVAgQJ6U1MVXOaj8PK2l7WJ3RER9xtqwdhxkhw/edit?usp=sharing"",""อ่างทอง!L446"")"),0)</f>
        <v>0</v>
      </c>
      <c r="M551" s="412"/>
      <c r="N551" s="412">
        <f ca="1">IFERROR(__xludf.DUMMYFUNCTION("IMPORTRANGE(""https://docs.google.com/spreadsheets/d/1SX6NBoVAgQJ6U1MVXOaj8PK2l7WJ3RER9xtqwdhxkhw/edit?usp=sharing"",""อ่างทอง!M446"")"),0)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IFERROR(__xludf.DUMMYFUNCTION("IMPORTRANGE(""https://docs.google.com/spreadsheets/d/1SX6NBoVAgQJ6U1MVXOaj8PK2l7WJ3RER9xtqwdhxkhw/edit?usp=sharing"",""อ่างทอง!L447"")"),0)</f>
        <v>0</v>
      </c>
      <c r="M552" s="164"/>
      <c r="N552" s="169">
        <f ca="1">IFERROR(__xludf.DUMMYFUNCTION("IMPORTRANGE(""https://docs.google.com/spreadsheets/d/1SX6NBoVAgQJ6U1MVXOaj8PK2l7WJ3RER9xtqwdhxkhw/edit?usp=sharing"",""อ่างทอง!M447"")"),0)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IFERROR(__xludf.DUMMYFUNCTION("IMPORTRANGE(""https://docs.google.com/spreadsheets/d/1SX6NBoVAgQJ6U1MVXOaj8PK2l7WJ3RER9xtqwdhxkhw/edit?usp=sharing"",""อ่างทอง!L448"")"),0)</f>
        <v>0</v>
      </c>
      <c r="M553" s="165"/>
      <c r="N553" s="169">
        <f ca="1">IFERROR(__xludf.DUMMYFUNCTION("IMPORTRANGE(""https://docs.google.com/spreadsheets/d/1SX6NBoVAgQJ6U1MVXOaj8PK2l7WJ3RER9xtqwdhxkhw/edit?usp=sharing"",""อ่างทอง!M448"")"),0)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IFERROR(__xludf.DUMMYFUNCTION("IMPORTRANGE(""https://docs.google.com/spreadsheets/d/1SX6NBoVAgQJ6U1MVXOaj8PK2l7WJ3RER9xtqwdhxkhw/edit?usp=sharing"",""อ่างทอง!L449"")"),0)</f>
        <v>0</v>
      </c>
      <c r="M554" s="169"/>
      <c r="N554" s="169">
        <f ca="1">IFERROR(__xludf.DUMMYFUNCTION("IMPORTRANGE(""https://docs.google.com/spreadsheets/d/1SX6NBoVAgQJ6U1MVXOaj8PK2l7WJ3RER9xtqwdhxkhw/edit?usp=sharing"",""อ่างทอง!M449"")"),0)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IFERROR(__xludf.DUMMYFUNCTION("IMPORTRANGE(""https://docs.google.com/spreadsheets/d/1SX6NBoVAgQJ6U1MVXOaj8PK2l7WJ3RER9xtqwdhxkhw/edit?usp=sharing"",""อ่างทอง!L450"")"),0)</f>
        <v>0</v>
      </c>
      <c r="M555" s="169"/>
      <c r="N555" s="169">
        <f ca="1">IFERROR(__xludf.DUMMYFUNCTION("IMPORTRANGE(""https://docs.google.com/spreadsheets/d/1SX6NBoVAgQJ6U1MVXOaj8PK2l7WJ3RER9xtqwdhxkhw/edit?usp=sharing"",""อ่างทอง!M450"")"),0)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IFERROR(__xludf.DUMMYFUNCTION("IMPORTRANGE(""https://docs.google.com/spreadsheets/d/1SX6NBoVAgQJ6U1MVXOaj8PK2l7WJ3RER9xtqwdhxkhw/edit?usp=sharing"",""อ่างทอง!M451"")"),0)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IFERROR(__xludf.DUMMYFUNCTION("IMPORTRANGE(""https://docs.google.com/spreadsheets/d/1SX6NBoVAgQJ6U1MVXOaj8PK2l7WJ3RER9xtqwdhxkhw/edit?usp=sharing"",""อ่างทอง!M452"")"),0)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IFERROR(__xludf.DUMMYFUNCTION("IMPORTRANGE(""https://docs.google.com/spreadsheets/d/1SX6NBoVAgQJ6U1MVXOaj8PK2l7WJ3RER9xtqwdhxkhw/edit?usp=sharing"",""อ่างทอง!M453"")"),0)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IFERROR(__xludf.DUMMYFUNCTION("IMPORTRANGE(""https://docs.google.com/spreadsheets/d/1SX6NBoVAgQJ6U1MVXOaj8PK2l7WJ3RER9xtqwdhxkhw/edit?usp=sharing"",""อ่างทอง!M454"")"),0)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IFERROR(__xludf.DUMMYFUNCTION("IMPORTRANGE(""https://docs.google.com/spreadsheets/d/1SX6NBoVAgQJ6U1MVXOaj8PK2l7WJ3RER9xtqwdhxkhw/edit?usp=sharing"",""อ่างทอง!I455"")"),0)</f>
        <v>0</v>
      </c>
      <c r="J560" s="162">
        <f ca="1">IFERROR(__xludf.DUMMYFUNCTION("IMPORTRANGE(""https://docs.google.com/spreadsheets/d/1SX6NBoVAgQJ6U1MVXOaj8PK2l7WJ3RER9xtqwdhxkhw/edit?usp=sharing"",""อ่างทอง!J455"")"),0)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IFERROR(__xludf.DUMMYFUNCTION("IMPORTRANGE(""https://docs.google.com/spreadsheets/d/1SX6NBoVAgQJ6U1MVXOaj8PK2l7WJ3RER9xtqwdhxkhw/edit?usp=sharing"",""อ่างทอง!I456"")"),0)</f>
        <v>0</v>
      </c>
      <c r="J561" s="204">
        <f ca="1">IFERROR(__xludf.DUMMYFUNCTION("IMPORTRANGE(""https://docs.google.com/spreadsheets/d/1SX6NBoVAgQJ6U1MVXOaj8PK2l7WJ3RER9xtqwdhxkhw/edit?usp=sharing"",""อ่างทอง!J456"")"),0)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IFERROR(__xludf.DUMMYFUNCTION("IMPORTRANGE(""https://docs.google.com/spreadsheets/d/1SX6NBoVAgQJ6U1MVXOaj8PK2l7WJ3RER9xtqwdhxkhw/edit?usp=sharing"",""อ่างทอง!I459"")"),20)</f>
        <v>20</v>
      </c>
      <c r="J564" s="371">
        <f ca="1">IFERROR(__xludf.DUMMYFUNCTION("IMPORTRANGE(""https://docs.google.com/spreadsheets/d/1SX6NBoVAgQJ6U1MVXOaj8PK2l7WJ3RER9xtqwdhxkhw/edit?usp=sharing"",""อ่างทอง!J459"")"),89)</f>
        <v>89</v>
      </c>
      <c r="K564" s="372">
        <f ca="1">IF(I564&gt;0,J564*100/I564,0)</f>
        <v>445</v>
      </c>
      <c r="L564" s="373">
        <f ca="1">IFERROR(__xludf.DUMMYFUNCTION("IMPORTRANGE(""https://docs.google.com/spreadsheets/d/1SX6NBoVAgQJ6U1MVXOaj8PK2l7WJ3RER9xtqwdhxkhw/edit?usp=sharing"",""อ่างทอง!L459"")"),117840)</f>
        <v>117840</v>
      </c>
      <c r="M564" s="373"/>
      <c r="N564" s="373">
        <f ca="1">IFERROR(__xludf.DUMMYFUNCTION("IMPORTRANGE(""https://docs.google.com/spreadsheets/d/1SX6NBoVAgQJ6U1MVXOaj8PK2l7WJ3RER9xtqwdhxkhw/edit?usp=sharing"",""อ่างทอง!M459"")"),45992)</f>
        <v>45992</v>
      </c>
      <c r="O564" s="373">
        <f t="shared" ref="O564:O568" ca="1" si="122">+IF(L564&gt;0,N564*100/L564,0)</f>
        <v>39.029192124915141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IFERROR(__xludf.DUMMYFUNCTION("IMPORTRANGE(""https://docs.google.com/spreadsheets/d/1SX6NBoVAgQJ6U1MVXOaj8PK2l7WJ3RER9xtqwdhxkhw/edit?usp=sharing"",""อ่างทอง!L460"")"),0)</f>
        <v>0</v>
      </c>
      <c r="M565" s="164"/>
      <c r="N565" s="169">
        <f ca="1">IFERROR(__xludf.DUMMYFUNCTION("IMPORTRANGE(""https://docs.google.com/spreadsheets/d/1SX6NBoVAgQJ6U1MVXOaj8PK2l7WJ3RER9xtqwdhxkhw/edit?usp=sharing"",""อ่างทอง!M460"")"),0)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IFERROR(__xludf.DUMMYFUNCTION("IMPORTRANGE(""https://docs.google.com/spreadsheets/d/1SX6NBoVAgQJ6U1MVXOaj8PK2l7WJ3RER9xtqwdhxkhw/edit?usp=sharing"",""อ่างทอง!L461"")"),117840)</f>
        <v>117840</v>
      </c>
      <c r="M566" s="165"/>
      <c r="N566" s="169">
        <f ca="1">IFERROR(__xludf.DUMMYFUNCTION("IMPORTRANGE(""https://docs.google.com/spreadsheets/d/1SX6NBoVAgQJ6U1MVXOaj8PK2l7WJ3RER9xtqwdhxkhw/edit?usp=sharing"",""อ่างทอง!M461"")"),45992)</f>
        <v>45992</v>
      </c>
      <c r="O566" s="169">
        <f t="shared" ca="1" si="122"/>
        <v>39.029192124915141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IFERROR(__xludf.DUMMYFUNCTION("IMPORTRANGE(""https://docs.google.com/spreadsheets/d/1SX6NBoVAgQJ6U1MVXOaj8PK2l7WJ3RER9xtqwdhxkhw/edit?usp=sharing"",""อ่างทอง!L462"")"),0)</f>
        <v>0</v>
      </c>
      <c r="M567" s="169"/>
      <c r="N567" s="169">
        <f ca="1">IFERROR(__xludf.DUMMYFUNCTION("IMPORTRANGE(""https://docs.google.com/spreadsheets/d/1SX6NBoVAgQJ6U1MVXOaj8PK2l7WJ3RER9xtqwdhxkhw/edit?usp=sharing"",""อ่างทอง!M462"")"),0)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IFERROR(__xludf.DUMMYFUNCTION("IMPORTRANGE(""https://docs.google.com/spreadsheets/d/1SX6NBoVAgQJ6U1MVXOaj8PK2l7WJ3RER9xtqwdhxkhw/edit?usp=sharing"",""อ่างทอง!L463"")"),117840)</f>
        <v>117840</v>
      </c>
      <c r="M568" s="169"/>
      <c r="N568" s="169">
        <f ca="1">IFERROR(__xludf.DUMMYFUNCTION("IMPORTRANGE(""https://docs.google.com/spreadsheets/d/1SX6NBoVAgQJ6U1MVXOaj8PK2l7WJ3RER9xtqwdhxkhw/edit?usp=sharing"",""อ่างทอง!M463"")"),45992)</f>
        <v>45992</v>
      </c>
      <c r="O568" s="169">
        <f t="shared" ca="1" si="122"/>
        <v>39.029192124915141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IFERROR(__xludf.DUMMYFUNCTION("IMPORTRANGE(""https://docs.google.com/spreadsheets/d/1SX6NBoVAgQJ6U1MVXOaj8PK2l7WJ3RER9xtqwdhxkhw/edit?usp=sharing"",""อ่างทอง!M464"")"),0)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IFERROR(__xludf.DUMMYFUNCTION("IMPORTRANGE(""https://docs.google.com/spreadsheets/d/1SX6NBoVAgQJ6U1MVXOaj8PK2l7WJ3RER9xtqwdhxkhw/edit?usp=sharing"",""อ่างทอง!M465"")"),0)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IFERROR(__xludf.DUMMYFUNCTION("IMPORTRANGE(""https://docs.google.com/spreadsheets/d/1SX6NBoVAgQJ6U1MVXOaj8PK2l7WJ3RER9xtqwdhxkhw/edit?usp=sharing"",""อ่างทอง!M466"")"),45992)</f>
        <v>45992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IFERROR(__xludf.DUMMYFUNCTION("IMPORTRANGE(""https://docs.google.com/spreadsheets/d/1SX6NBoVAgQJ6U1MVXOaj8PK2l7WJ3RER9xtqwdhxkhw/edit?usp=sharing"",""อ่างทอง!M467"")"),0)</f>
        <v>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IFERROR(__xludf.DUMMYFUNCTION("IMPORTRANGE(""https://docs.google.com/spreadsheets/d/1SX6NBoVAgQJ6U1MVXOaj8PK2l7WJ3RER9xtqwdhxkhw/edit?usp=sharing"",""อ่างทอง!I468"")"),20)</f>
        <v>20</v>
      </c>
      <c r="J573" s="420">
        <f ca="1">IFERROR(__xludf.DUMMYFUNCTION("IMPORTRANGE(""https://docs.google.com/spreadsheets/d/1SX6NBoVAgQJ6U1MVXOaj8PK2l7WJ3RER9xtqwdhxkhw/edit?usp=sharing"",""อ่างทอง!J468"")"),89)</f>
        <v>89</v>
      </c>
      <c r="K573" s="202">
        <f ca="1">IF(I573&gt;0,J573*100/I573,0)</f>
        <v>445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IFERROR(__xludf.DUMMYFUNCTION("IMPORTRANGE(""https://docs.google.com/spreadsheets/d/1SX6NBoVAgQJ6U1MVXOaj8PK2l7WJ3RER9xtqwdhxkhw/edit?usp=sharing"",""อ่างทอง!I470"")"),0)</f>
        <v>0</v>
      </c>
      <c r="J575" s="198">
        <f ca="1">IFERROR(__xludf.DUMMYFUNCTION("IMPORTRANGE(""https://docs.google.com/spreadsheets/d/1SX6NBoVAgQJ6U1MVXOaj8PK2l7WJ3RER9xtqwdhxkhw/edit?usp=sharing"",""อ่างทอง!J470"")"),3)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IFERROR(__xludf.DUMMYFUNCTION("IMPORTRANGE(""https://docs.google.com/spreadsheets/d/1SX6NBoVAgQJ6U1MVXOaj8PK2l7WJ3RER9xtqwdhxkhw/edit?usp=sharing"",""อ่างทอง!I471"")"),0)</f>
        <v>0</v>
      </c>
      <c r="J576" s="198">
        <f ca="1">IFERROR(__xludf.DUMMYFUNCTION("IMPORTRANGE(""https://docs.google.com/spreadsheets/d/1SX6NBoVAgQJ6U1MVXOaj8PK2l7WJ3RER9xtqwdhxkhw/edit?usp=sharing"",""อ่างทอง!J471"")"),63)</f>
        <v>63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IFERROR(__xludf.DUMMYFUNCTION("IMPORTRANGE(""https://docs.google.com/spreadsheets/d/1SX6NBoVAgQJ6U1MVXOaj8PK2l7WJ3RER9xtqwdhxkhw/edit?usp=sharing"",""อ่างทอง!I472"")"),0)</f>
        <v>0</v>
      </c>
      <c r="J577" s="189">
        <f ca="1">IFERROR(__xludf.DUMMYFUNCTION("IMPORTRANGE(""https://docs.google.com/spreadsheets/d/1SX6NBoVAgQJ6U1MVXOaj8PK2l7WJ3RER9xtqwdhxkhw/edit?usp=sharing"",""อ่างทอง!J472"")"),26)</f>
        <v>26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IFERROR(__xludf.DUMMYFUNCTION("IMPORTRANGE(""https://docs.google.com/spreadsheets/d/1SX6NBoVAgQJ6U1MVXOaj8PK2l7WJ3RER9xtqwdhxkhw/edit?usp=sharing"",""อ่างทอง!I473"")"),0)</f>
        <v>0</v>
      </c>
      <c r="J578" s="198">
        <f ca="1">IFERROR(__xludf.DUMMYFUNCTION("IMPORTRANGE(""https://docs.google.com/spreadsheets/d/1SX6NBoVAgQJ6U1MVXOaj8PK2l7WJ3RER9xtqwdhxkhw/edit?usp=sharing"",""อ่างทอง!J473"")"),0)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IFERROR(__xludf.DUMMYFUNCTION("IMPORTRANGE(""https://docs.google.com/spreadsheets/d/1SX6NBoVAgQJ6U1MVXOaj8PK2l7WJ3RER9xtqwdhxkhw/edit?usp=sharing"",""อ่างทอง!I474"")"),0)</f>
        <v>0</v>
      </c>
      <c r="J579" s="198">
        <f ca="1">IFERROR(__xludf.DUMMYFUNCTION("IMPORTRANGE(""https://docs.google.com/spreadsheets/d/1SX6NBoVAgQJ6U1MVXOaj8PK2l7WJ3RER9xtqwdhxkhw/edit?usp=sharing"",""อ่างทอง!J474"")"),0)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IFERROR(__xludf.DUMMYFUNCTION("IMPORTRANGE(""https://docs.google.com/spreadsheets/d/1SX6NBoVAgQJ6U1MVXOaj8PK2l7WJ3RER9xtqwdhxkhw/edit?usp=sharing"",""อ่างทอง!I475"")"),0)</f>
        <v>0</v>
      </c>
      <c r="J580" s="371">
        <f ca="1">IFERROR(__xludf.DUMMYFUNCTION("IMPORTRANGE(""https://docs.google.com/spreadsheets/d/1SX6NBoVAgQJ6U1MVXOaj8PK2l7WJ3RER9xtqwdhxkhw/edit?usp=sharing"",""อ่างทอง!J475"")"),0)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IFERROR(__xludf.DUMMYFUNCTION("IMPORTRANGE(""https://docs.google.com/spreadsheets/d/1SX6NBoVAgQJ6U1MVXOaj8PK2l7WJ3RER9xtqwdhxkhw/edit?usp=sharing"",""อ่างทอง!L475"")"),0)</f>
        <v>0</v>
      </c>
      <c r="M580" s="373"/>
      <c r="N580" s="373">
        <f ca="1">IFERROR(__xludf.DUMMYFUNCTION("IMPORTRANGE(""https://docs.google.com/spreadsheets/d/1SX6NBoVAgQJ6U1MVXOaj8PK2l7WJ3RER9xtqwdhxkhw/edit?usp=sharing"",""อ่างทอง!M475"")"),0)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IFERROR(__xludf.DUMMYFUNCTION("IMPORTRANGE(""https://docs.google.com/spreadsheets/d/1SX6NBoVAgQJ6U1MVXOaj8PK2l7WJ3RER9xtqwdhxkhw/edit?usp=sharing"",""อ่างทอง!L476"")"),0)</f>
        <v>0</v>
      </c>
      <c r="M581" s="164"/>
      <c r="N581" s="169">
        <f ca="1">IFERROR(__xludf.DUMMYFUNCTION("IMPORTRANGE(""https://docs.google.com/spreadsheets/d/1SX6NBoVAgQJ6U1MVXOaj8PK2l7WJ3RER9xtqwdhxkhw/edit?usp=sharing"",""อ่างทอง!M476"")"),0)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IFERROR(__xludf.DUMMYFUNCTION("IMPORTRANGE(""https://docs.google.com/spreadsheets/d/1SX6NBoVAgQJ6U1MVXOaj8PK2l7WJ3RER9xtqwdhxkhw/edit?usp=sharing"",""อ่างทอง!L477"")"),0)</f>
        <v>0</v>
      </c>
      <c r="M582" s="165"/>
      <c r="N582" s="169">
        <f ca="1">IFERROR(__xludf.DUMMYFUNCTION("IMPORTRANGE(""https://docs.google.com/spreadsheets/d/1SX6NBoVAgQJ6U1MVXOaj8PK2l7WJ3RER9xtqwdhxkhw/edit?usp=sharing"",""อ่างทอง!M477"")"),0)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IFERROR(__xludf.DUMMYFUNCTION("IMPORTRANGE(""https://docs.google.com/spreadsheets/d/1SX6NBoVAgQJ6U1MVXOaj8PK2l7WJ3RER9xtqwdhxkhw/edit?usp=sharing"",""อ่างทอง!L478"")"),0)</f>
        <v>0</v>
      </c>
      <c r="M583" s="169"/>
      <c r="N583" s="169">
        <f ca="1">IFERROR(__xludf.DUMMYFUNCTION("IMPORTRANGE(""https://docs.google.com/spreadsheets/d/1SX6NBoVAgQJ6U1MVXOaj8PK2l7WJ3RER9xtqwdhxkhw/edit?usp=sharing"",""อ่างทอง!M478"")"),0)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IFERROR(__xludf.DUMMYFUNCTION("IMPORTRANGE(""https://docs.google.com/spreadsheets/d/1SX6NBoVAgQJ6U1MVXOaj8PK2l7WJ3RER9xtqwdhxkhw/edit?usp=sharing"",""อ่างทอง!L479"")"),0)</f>
        <v>0</v>
      </c>
      <c r="M584" s="169"/>
      <c r="N584" s="169">
        <f ca="1">IFERROR(__xludf.DUMMYFUNCTION("IMPORTRANGE(""https://docs.google.com/spreadsheets/d/1SX6NBoVAgQJ6U1MVXOaj8PK2l7WJ3RER9xtqwdhxkhw/edit?usp=sharing"",""อ่างทอง!M479"")"),0)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IFERROR(__xludf.DUMMYFUNCTION("IMPORTRANGE(""https://docs.google.com/spreadsheets/d/1SX6NBoVAgQJ6U1MVXOaj8PK2l7WJ3RER9xtqwdhxkhw/edit?usp=sharing"",""อ่างทอง!M480"")"),0)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IFERROR(__xludf.DUMMYFUNCTION("IMPORTRANGE(""https://docs.google.com/spreadsheets/d/1SX6NBoVAgQJ6U1MVXOaj8PK2l7WJ3RER9xtqwdhxkhw/edit?usp=sharing"",""อ่างทอง!M481"")"),0)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IFERROR(__xludf.DUMMYFUNCTION("IMPORTRANGE(""https://docs.google.com/spreadsheets/d/1SX6NBoVAgQJ6U1MVXOaj8PK2l7WJ3RER9xtqwdhxkhw/edit?usp=sharing"",""อ่างทอง!M482"")"),0)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IFERROR(__xludf.DUMMYFUNCTION("IMPORTRANGE(""https://docs.google.com/spreadsheets/d/1SX6NBoVAgQJ6U1MVXOaj8PK2l7WJ3RER9xtqwdhxkhw/edit?usp=sharing"",""อ่างทอง!M483"")"),0)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IFERROR(__xludf.DUMMYFUNCTION("IMPORTRANGE(""https://docs.google.com/spreadsheets/d/1SX6NBoVAgQJ6U1MVXOaj8PK2l7WJ3RER9xtqwdhxkhw/edit?usp=sharing"",""อ่างทอง!I484"")"),0)</f>
        <v>0</v>
      </c>
      <c r="J589" s="188">
        <f ca="1">IFERROR(__xludf.DUMMYFUNCTION("IMPORTRANGE(""https://docs.google.com/spreadsheets/d/1SX6NBoVAgQJ6U1MVXOaj8PK2l7WJ3RER9xtqwdhxkhw/edit?usp=sharing"",""อ่างทอง!J484"")"),0)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IFERROR(__xludf.DUMMYFUNCTION("IMPORTRANGE(""https://docs.google.com/spreadsheets/d/1SX6NBoVAgQJ6U1MVXOaj8PK2l7WJ3RER9xtqwdhxkhw/edit?usp=sharing"",""อ่างทอง!I485"")"),0)</f>
        <v>0</v>
      </c>
      <c r="J590" s="188">
        <f ca="1">IFERROR(__xludf.DUMMYFUNCTION("IMPORTRANGE(""https://docs.google.com/spreadsheets/d/1SX6NBoVAgQJ6U1MVXOaj8PK2l7WJ3RER9xtqwdhxkhw/edit?usp=sharing"",""อ่างทอง!J485"")"),0)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IFERROR(__xludf.DUMMYFUNCTION("IMPORTRANGE(""https://docs.google.com/spreadsheets/d/1SX6NBoVAgQJ6U1MVXOaj8PK2l7WJ3RER9xtqwdhxkhw/edit?usp=sharing"",""อ่างทอง!I486"")"),0)</f>
        <v>0</v>
      </c>
      <c r="J591" s="188">
        <f ca="1">IFERROR(__xludf.DUMMYFUNCTION("IMPORTRANGE(""https://docs.google.com/spreadsheets/d/1SX6NBoVAgQJ6U1MVXOaj8PK2l7WJ3RER9xtqwdhxkhw/edit?usp=sharing"",""อ่างทอง!J486"")"),0)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IFERROR(__xludf.DUMMYFUNCTION("IMPORTRANGE(""https://docs.google.com/spreadsheets/d/1SX6NBoVAgQJ6U1MVXOaj8PK2l7WJ3RER9xtqwdhxkhw/edit?usp=sharing"",""อ่างทอง!I487"")"),0)</f>
        <v>0</v>
      </c>
      <c r="J592" s="188">
        <f ca="1">IFERROR(__xludf.DUMMYFUNCTION("IMPORTRANGE(""https://docs.google.com/spreadsheets/d/1SX6NBoVAgQJ6U1MVXOaj8PK2l7WJ3RER9xtqwdhxkhw/edit?usp=sharing"",""อ่างทอง!J487"")"),0)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IFERROR(__xludf.DUMMYFUNCTION("IMPORTRANGE(""https://docs.google.com/spreadsheets/d/1SX6NBoVAgQJ6U1MVXOaj8PK2l7WJ3RER9xtqwdhxkhw/edit?usp=sharing"",""อ่างทอง!I488"")"),0)</f>
        <v>0</v>
      </c>
      <c r="J593" s="188">
        <f ca="1">IFERROR(__xludf.DUMMYFUNCTION("IMPORTRANGE(""https://docs.google.com/spreadsheets/d/1SX6NBoVAgQJ6U1MVXOaj8PK2l7WJ3RER9xtqwdhxkhw/edit?usp=sharing"",""อ่างทอง!J488"")"),0)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IFERROR(__xludf.DUMMYFUNCTION("IMPORTRANGE(""https://docs.google.com/spreadsheets/d/1SX6NBoVAgQJ6U1MVXOaj8PK2l7WJ3RER9xtqwdhxkhw/edit?usp=sharing"",""อ่างทอง!I489"")"),0)</f>
        <v>0</v>
      </c>
      <c r="J594" s="188">
        <f ca="1">IFERROR(__xludf.DUMMYFUNCTION("IMPORTRANGE(""https://docs.google.com/spreadsheets/d/1SX6NBoVAgQJ6U1MVXOaj8PK2l7WJ3RER9xtqwdhxkhw/edit?usp=sharing"",""อ่างทอง!J489"")"),0)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IFERROR(__xludf.DUMMYFUNCTION("IMPORTRANGE(""https://docs.google.com/spreadsheets/d/1SX6NBoVAgQJ6U1MVXOaj8PK2l7WJ3RER9xtqwdhxkhw/edit?usp=sharing"",""อ่างทอง!I490"")"),0)</f>
        <v>0</v>
      </c>
      <c r="J595" s="188">
        <f ca="1">IFERROR(__xludf.DUMMYFUNCTION("IMPORTRANGE(""https://docs.google.com/spreadsheets/d/1SX6NBoVAgQJ6U1MVXOaj8PK2l7WJ3RER9xtqwdhxkhw/edit?usp=sharing"",""อ่างทอง!J490"")"),0)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IFERROR(__xludf.DUMMYFUNCTION("IMPORTRANGE(""https://docs.google.com/spreadsheets/d/1SX6NBoVAgQJ6U1MVXOaj8PK2l7WJ3RER9xtqwdhxkhw/edit?usp=sharing"",""อ่างทอง!I491"")"),0)</f>
        <v>0</v>
      </c>
      <c r="J596" s="242">
        <f ca="1">IFERROR(__xludf.DUMMYFUNCTION("IMPORTRANGE(""https://docs.google.com/spreadsheets/d/1SX6NBoVAgQJ6U1MVXOaj8PK2l7WJ3RER9xtqwdhxkhw/edit?usp=sharing"",""อ่างทอง!J491"")"),0)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IFERROR(__xludf.DUMMYFUNCTION("IMPORTRANGE(""https://docs.google.com/spreadsheets/d/1SX6NBoVAgQJ6U1MVXOaj8PK2l7WJ3RER9xtqwdhxkhw/edit?usp=sharing"",""อ่างทอง!I492"")"),80)</f>
        <v>80</v>
      </c>
      <c r="J597" s="488">
        <f ca="1">IFERROR(__xludf.DUMMYFUNCTION("IMPORTRANGE(""https://docs.google.com/spreadsheets/d/1SX6NBoVAgQJ6U1MVXOaj8PK2l7WJ3RER9xtqwdhxkhw/edit?usp=sharing"",""อ่างทอง!J492"")"),0)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IFERROR(__xludf.DUMMYFUNCTION("IMPORTRANGE(""https://docs.google.com/spreadsheets/d/1SX6NBoVAgQJ6U1MVXOaj8PK2l7WJ3RER9xtqwdhxkhw/edit?usp=sharing"",""อ่างทอง!L492"")"),10800)</f>
        <v>10800</v>
      </c>
      <c r="M597" s="412"/>
      <c r="N597" s="412">
        <f ca="1">IFERROR(__xludf.DUMMYFUNCTION("IMPORTRANGE(""https://docs.google.com/spreadsheets/d/1SX6NBoVAgQJ6U1MVXOaj8PK2l7WJ3RER9xtqwdhxkhw/edit?usp=sharing"",""อ่างทอง!M492"")"),1170)</f>
        <v>1170</v>
      </c>
      <c r="O597" s="412">
        <f t="shared" ref="O597:O601" ca="1" si="126">+IF(L597&gt;0,N597*100/L597,0)</f>
        <v>10.833333333333334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IFERROR(__xludf.DUMMYFUNCTION("IMPORTRANGE(""https://docs.google.com/spreadsheets/d/1SX6NBoVAgQJ6U1MVXOaj8PK2l7WJ3RER9xtqwdhxkhw/edit?usp=sharing"",""อ่างทอง!L493"")"),0)</f>
        <v>0</v>
      </c>
      <c r="M598" s="164"/>
      <c r="N598" s="169">
        <f ca="1">IFERROR(__xludf.DUMMYFUNCTION("IMPORTRANGE(""https://docs.google.com/spreadsheets/d/1SX6NBoVAgQJ6U1MVXOaj8PK2l7WJ3RER9xtqwdhxkhw/edit?usp=sharing"",""อ่างทอง!M493"")"),0)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IFERROR(__xludf.DUMMYFUNCTION("IMPORTRANGE(""https://docs.google.com/spreadsheets/d/1SX6NBoVAgQJ6U1MVXOaj8PK2l7WJ3RER9xtqwdhxkhw/edit?usp=sharing"",""อ่างทอง!L494"")"),10800)</f>
        <v>10800</v>
      </c>
      <c r="M599" s="165"/>
      <c r="N599" s="169">
        <f ca="1">IFERROR(__xludf.DUMMYFUNCTION("IMPORTRANGE(""https://docs.google.com/spreadsheets/d/1SX6NBoVAgQJ6U1MVXOaj8PK2l7WJ3RER9xtqwdhxkhw/edit?usp=sharing"",""อ่างทอง!M494"")"),1170)</f>
        <v>1170</v>
      </c>
      <c r="O599" s="169">
        <f t="shared" ca="1" si="126"/>
        <v>10.833333333333334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IFERROR(__xludf.DUMMYFUNCTION("IMPORTRANGE(""https://docs.google.com/spreadsheets/d/1SX6NBoVAgQJ6U1MVXOaj8PK2l7WJ3RER9xtqwdhxkhw/edit?usp=sharing"",""อ่างทอง!L495"")"),0)</f>
        <v>0</v>
      </c>
      <c r="M600" s="169"/>
      <c r="N600" s="169">
        <f ca="1">IFERROR(__xludf.DUMMYFUNCTION("IMPORTRANGE(""https://docs.google.com/spreadsheets/d/1SX6NBoVAgQJ6U1MVXOaj8PK2l7WJ3RER9xtqwdhxkhw/edit?usp=sharing"",""อ่างทอง!M495"")"),0)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IFERROR(__xludf.DUMMYFUNCTION("IMPORTRANGE(""https://docs.google.com/spreadsheets/d/1SX6NBoVAgQJ6U1MVXOaj8PK2l7WJ3RER9xtqwdhxkhw/edit?usp=sharing"",""อ่างทอง!L496"")"),10800)</f>
        <v>10800</v>
      </c>
      <c r="M601" s="169"/>
      <c r="N601" s="169">
        <f ca="1">IFERROR(__xludf.DUMMYFUNCTION("IMPORTRANGE(""https://docs.google.com/spreadsheets/d/1SX6NBoVAgQJ6U1MVXOaj8PK2l7WJ3RER9xtqwdhxkhw/edit?usp=sharing"",""อ่างทอง!M496"")"),1170)</f>
        <v>1170</v>
      </c>
      <c r="O601" s="169">
        <f t="shared" ca="1" si="126"/>
        <v>10.833333333333334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IFERROR(__xludf.DUMMYFUNCTION("IMPORTRANGE(""https://docs.google.com/spreadsheets/d/1SX6NBoVAgQJ6U1MVXOaj8PK2l7WJ3RER9xtqwdhxkhw/edit?usp=sharing"",""อ่างทอง!M497"")"),0)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IFERROR(__xludf.DUMMYFUNCTION("IMPORTRANGE(""https://docs.google.com/spreadsheets/d/1SX6NBoVAgQJ6U1MVXOaj8PK2l7WJ3RER9xtqwdhxkhw/edit?usp=sharing"",""อ่างทอง!M498"")"),0)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IFERROR(__xludf.DUMMYFUNCTION("IMPORTRANGE(""https://docs.google.com/spreadsheets/d/1SX6NBoVAgQJ6U1MVXOaj8PK2l7WJ3RER9xtqwdhxkhw/edit?usp=sharing"",""อ่างทอง!M499"")"),0)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IFERROR(__xludf.DUMMYFUNCTION("IMPORTRANGE(""https://docs.google.com/spreadsheets/d/1SX6NBoVAgQJ6U1MVXOaj8PK2l7WJ3RER9xtqwdhxkhw/edit?usp=sharing"",""อ่างทอง!M500"")"),1170)</f>
        <v>1170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IFERROR(__xludf.DUMMYFUNCTION("IMPORTRANGE(""https://docs.google.com/spreadsheets/d/1SX6NBoVAgQJ6U1MVXOaj8PK2l7WJ3RER9xtqwdhxkhw/edit?usp=sharing"",""อ่างทอง!J502"")"),0)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IFERROR(__xludf.DUMMYFUNCTION("IMPORTRANGE(""https://docs.google.com/spreadsheets/d/1SX6NBoVAgQJ6U1MVXOaj8PK2l7WJ3RER9xtqwdhxkhw/edit?usp=sharing"",""อ่างทอง!J503"")"),1)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IFERROR(__xludf.DUMMYFUNCTION("IMPORTRANGE(""https://docs.google.com/spreadsheets/d/1SX6NBoVAgQJ6U1MVXOaj8PK2l7WJ3RER9xtqwdhxkhw/edit?usp=sharing"",""อ่างทอง!J166"")"),0)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IFERROR(__xludf.DUMMYFUNCTION("IMPORTRANGE(""https://docs.google.com/spreadsheets/d/1SX6NBoVAgQJ6U1MVXOaj8PK2l7WJ3RER9xtqwdhxkhw/edit?usp=sharing"",""อ่างทอง!J166"")"),0)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IFERROR(__xludf.DUMMYFUNCTION("IMPORTRANGE(""https://docs.google.com/spreadsheets/d/1SX6NBoVAgQJ6U1MVXOaj8PK2l7WJ3RER9xtqwdhxkhw/edit?usp=sharing"",""อ่างทอง!I506"")"),80)</f>
        <v>80</v>
      </c>
      <c r="J611" s="162">
        <f ca="1">IFERROR(__xludf.DUMMYFUNCTION("IMPORTRANGE(""https://docs.google.com/spreadsheets/d/1SX6NBoVAgQJ6U1MVXOaj8PK2l7WJ3RER9xtqwdhxkhw/edit?usp=sharing"",""อ่างทอง!J506"")"),0)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IFERROR(__xludf.DUMMYFUNCTION("IMPORTRANGE(""https://docs.google.com/spreadsheets/d/1SX6NBoVAgQJ6U1MVXOaj8PK2l7WJ3RER9xtqwdhxkhw/edit?usp=sharing"",""อ่างทอง!I507"")"),0)</f>
        <v>0</v>
      </c>
      <c r="J612" s="198">
        <f ca="1">IFERROR(__xludf.DUMMYFUNCTION("IMPORTRANGE(""https://docs.google.com/spreadsheets/d/1SX6NBoVAgQJ6U1MVXOaj8PK2l7WJ3RER9xtqwdhxkhw/edit?usp=sharing"",""อ่างทอง!J507"")"),418)</f>
        <v>418</v>
      </c>
      <c r="K612" s="163">
        <f t="shared" ca="1" si="127"/>
        <v>522.5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IFERROR(__xludf.DUMMYFUNCTION("IMPORTRANGE(""https://docs.google.com/spreadsheets/d/1SX6NBoVAgQJ6U1MVXOaj8PK2l7WJ3RER9xtqwdhxkhw/edit?usp=sharing"",""อ่างทอง!I508"")"),0)</f>
        <v>0</v>
      </c>
      <c r="J613" s="198">
        <f ca="1">IFERROR(__xludf.DUMMYFUNCTION("IMPORTRANGE(""https://docs.google.com/spreadsheets/d/1SX6NBoVAgQJ6U1MVXOaj8PK2l7WJ3RER9xtqwdhxkhw/edit?usp=sharing"",""อ่างทอง!J508"")"),0)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IFERROR(__xludf.DUMMYFUNCTION("IMPORTRANGE(""https://docs.google.com/spreadsheets/d/1SX6NBoVAgQJ6U1MVXOaj8PK2l7WJ3RER9xtqwdhxkhw/edit?usp=sharing"",""อ่างทอง!I509"")"),0)</f>
        <v>0</v>
      </c>
      <c r="J614" s="198">
        <f ca="1">IFERROR(__xludf.DUMMYFUNCTION("IMPORTRANGE(""https://docs.google.com/spreadsheets/d/1SX6NBoVAgQJ6U1MVXOaj8PK2l7WJ3RER9xtqwdhxkhw/edit?usp=sharing"",""อ่างทอง!J509"")"),0)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IFERROR(__xludf.DUMMYFUNCTION("IMPORTRANGE(""https://docs.google.com/spreadsheets/d/1SX6NBoVAgQJ6U1MVXOaj8PK2l7WJ3RER9xtqwdhxkhw/edit?usp=sharing"",""อ่างทอง!I510"")"),0)</f>
        <v>0</v>
      </c>
      <c r="J615" s="198">
        <f ca="1">IFERROR(__xludf.DUMMYFUNCTION("IMPORTRANGE(""https://docs.google.com/spreadsheets/d/1SX6NBoVAgQJ6U1MVXOaj8PK2l7WJ3RER9xtqwdhxkhw/edit?usp=sharing"",""อ่างทอง!J510"")"),0)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IFERROR(__xludf.DUMMYFUNCTION("IMPORTRANGE(""https://docs.google.com/spreadsheets/d/1SX6NBoVAgQJ6U1MVXOaj8PK2l7WJ3RER9xtqwdhxkhw/edit?usp=sharing"",""อ่างทอง!I511"")"),0)</f>
        <v>0</v>
      </c>
      <c r="J616" s="198">
        <f ca="1">IFERROR(__xludf.DUMMYFUNCTION("IMPORTRANGE(""https://docs.google.com/spreadsheets/d/1SX6NBoVAgQJ6U1MVXOaj8PK2l7WJ3RER9xtqwdhxkhw/edit?usp=sharing"",""อ่างทอง!J511"")"),0)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IFERROR(__xludf.DUMMYFUNCTION("IMPORTRANGE(""https://docs.google.com/spreadsheets/d/1SX6NBoVAgQJ6U1MVXOaj8PK2l7WJ3RER9xtqwdhxkhw/edit?usp=sharing"",""อ่างทอง!I512"")"),0)</f>
        <v>0</v>
      </c>
      <c r="J617" s="188">
        <f ca="1">IFERROR(__xludf.DUMMYFUNCTION("IMPORTRANGE(""https://docs.google.com/spreadsheets/d/1SX6NBoVAgQJ6U1MVXOaj8PK2l7WJ3RER9xtqwdhxkhw/edit?usp=sharing"",""อ่างทอง!J512"")"),0)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IFERROR(__xludf.DUMMYFUNCTION("IMPORTRANGE(""https://docs.google.com/spreadsheets/d/1SX6NBoVAgQJ6U1MVXOaj8PK2l7WJ3RER9xtqwdhxkhw/edit?usp=sharing"",""อ่างทอง!I513"")"),0)</f>
        <v>0</v>
      </c>
      <c r="J618" s="189">
        <f ca="1">IFERROR(__xludf.DUMMYFUNCTION("IMPORTRANGE(""https://docs.google.com/spreadsheets/d/1SX6NBoVAgQJ6U1MVXOaj8PK2l7WJ3RER9xtqwdhxkhw/edit?usp=sharing"",""อ่างทอง!J513"")"),0)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IFERROR(__xludf.DUMMYFUNCTION("IMPORTRANGE(""https://docs.google.com/spreadsheets/d/1SX6NBoVAgQJ6U1MVXOaj8PK2l7WJ3RER9xtqwdhxkhw/edit?usp=sharing"",""อ่างทอง!I514"")"),0)</f>
        <v>0</v>
      </c>
      <c r="J619" s="189">
        <f ca="1">IFERROR(__xludf.DUMMYFUNCTION("IMPORTRANGE(""https://docs.google.com/spreadsheets/d/1SX6NBoVAgQJ6U1MVXOaj8PK2l7WJ3RER9xtqwdhxkhw/edit?usp=sharing"",""อ่างทอง!J514"")"),0)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IFERROR(__xludf.DUMMYFUNCTION("IMPORTRANGE(""https://docs.google.com/spreadsheets/d/1SX6NBoVAgQJ6U1MVXOaj8PK2l7WJ3RER9xtqwdhxkhw/edit?usp=sharing"",""อ่างทอง!I515"")"),293)</f>
        <v>293</v>
      </c>
      <c r="J620" s="203">
        <f ca="1">IFERROR(__xludf.DUMMYFUNCTION("IMPORTRANGE(""https://docs.google.com/spreadsheets/d/1SX6NBoVAgQJ6U1MVXOaj8PK2l7WJ3RER9xtqwdhxkhw/edit?usp=sharing"",""อ่างทอง!J515"")"),0)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IFERROR(__xludf.DUMMYFUNCTION("IMPORTRANGE(""https://docs.google.com/spreadsheets/d/1SX6NBoVAgQJ6U1MVXOaj8PK2l7WJ3RER9xtqwdhxkhw/edit?usp=sharing"",""อ่างทอง!I516"")"),0)</f>
        <v>0</v>
      </c>
      <c r="J621" s="203">
        <f ca="1">IFERROR(__xludf.DUMMYFUNCTION("IMPORTRANGE(""https://docs.google.com/spreadsheets/d/1SX6NBoVAgQJ6U1MVXOaj8PK2l7WJ3RER9xtqwdhxkhw/edit?usp=sharing"",""อ่างทอง!J516"")"),0)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IFERROR(__xludf.DUMMYFUNCTION("IMPORTRANGE(""https://docs.google.com/spreadsheets/d/1SX6NBoVAgQJ6U1MVXOaj8PK2l7WJ3RER9xtqwdhxkhw/edit?usp=sharing"",""อ่างทอง!I517"")"),0)</f>
        <v>0</v>
      </c>
      <c r="J622" s="189">
        <f ca="1">IFERROR(__xludf.DUMMYFUNCTION("IMPORTRANGE(""https://docs.google.com/spreadsheets/d/1SX6NBoVAgQJ6U1MVXOaj8PK2l7WJ3RER9xtqwdhxkhw/edit?usp=sharing"",""อ่างทอง!J517"")"),0)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IFERROR(__xludf.DUMMYFUNCTION("IMPORTRANGE(""https://docs.google.com/spreadsheets/d/1SX6NBoVAgQJ6U1MVXOaj8PK2l7WJ3RER9xtqwdhxkhw/edit?usp=sharing"",""อ่างทอง!I518"")"),0)</f>
        <v>0</v>
      </c>
      <c r="J623" s="189">
        <f ca="1">IFERROR(__xludf.DUMMYFUNCTION("IMPORTRANGE(""https://docs.google.com/spreadsheets/d/1SX6NBoVAgQJ6U1MVXOaj8PK2l7WJ3RER9xtqwdhxkhw/edit?usp=sharing"",""อ่างทอง!J518"")"),0)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IFERROR(__xludf.DUMMYFUNCTION("IMPORTRANGE(""https://docs.google.com/spreadsheets/d/1SX6NBoVAgQJ6U1MVXOaj8PK2l7WJ3RER9xtqwdhxkhw/edit?usp=sharing"",""อ่างทอง!I519"")"),0)</f>
        <v>0</v>
      </c>
      <c r="J624" s="188">
        <f ca="1">IFERROR(__xludf.DUMMYFUNCTION("IMPORTRANGE(""https://docs.google.com/spreadsheets/d/1SX6NBoVAgQJ6U1MVXOaj8PK2l7WJ3RER9xtqwdhxkhw/edit?usp=sharing"",""อ่างทอง!J519"")"),0)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IFERROR(__xludf.DUMMYFUNCTION("IMPORTRANGE(""https://docs.google.com/spreadsheets/d/1SX6NBoVAgQJ6U1MVXOaj8PK2l7WJ3RER9xtqwdhxkhw/edit?usp=sharing"",""อ่างทอง!I520"")"),0)</f>
        <v>0</v>
      </c>
      <c r="J625" s="189">
        <f ca="1">IFERROR(__xludf.DUMMYFUNCTION("IMPORTRANGE(""https://docs.google.com/spreadsheets/d/1SX6NBoVAgQJ6U1MVXOaj8PK2l7WJ3RER9xtqwdhxkhw/edit?usp=sharing"",""อ่างทอง!J520"")"),0)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IFERROR(__xludf.DUMMYFUNCTION("IMPORTRANGE(""https://docs.google.com/spreadsheets/d/1SX6NBoVAgQJ6U1MVXOaj8PK2l7WJ3RER9xtqwdhxkhw/edit?usp=sharing"",""อ่างทอง!I521"")"),0)</f>
        <v>0</v>
      </c>
      <c r="J626" s="189">
        <f ca="1">IFERROR(__xludf.DUMMYFUNCTION("IMPORTRANGE(""https://docs.google.com/spreadsheets/d/1SX6NBoVAgQJ6U1MVXOaj8PK2l7WJ3RER9xtqwdhxkhw/edit?usp=sharing"",""อ่างทอง!J521"")"),0)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IFERROR(__xludf.DUMMYFUNCTION("IMPORTRANGE(""https://docs.google.com/spreadsheets/d/1SX6NBoVAgQJ6U1MVXOaj8PK2l7WJ3RER9xtqwdhxkhw/edit?usp=sharing"",""อ่างทอง!I523"")"),510000)</f>
        <v>510000</v>
      </c>
      <c r="J628" s="342">
        <f ca="1">IFERROR(__xludf.DUMMYFUNCTION("IMPORTRANGE(""https://docs.google.com/spreadsheets/d/1SX6NBoVAgQJ6U1MVXOaj8PK2l7WJ3RER9xtqwdhxkhw/edit?usp=sharing"",""อ่างทอง!J523"")"),270000)</f>
        <v>270000</v>
      </c>
      <c r="K628" s="343">
        <f t="shared" ref="K628:K635" ca="1" si="129">IF(I628&gt;0,J628*100/I628,0)</f>
        <v>52.941176470588232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IFERROR(__xludf.DUMMYFUNCTION("IMPORTRANGE(""https://docs.google.com/spreadsheets/d/1SX6NBoVAgQJ6U1MVXOaj8PK2l7WJ3RER9xtqwdhxkhw/edit?usp=sharing"",""อ่างทอง!I524"")"),18)</f>
        <v>18</v>
      </c>
      <c r="J629" s="342">
        <f ca="1">IFERROR(__xludf.DUMMYFUNCTION("IMPORTRANGE(""https://docs.google.com/spreadsheets/d/1SX6NBoVAgQJ6U1MVXOaj8PK2l7WJ3RER9xtqwdhxkhw/edit?usp=sharing"",""อ่างทอง!J524"")"),9)</f>
        <v>9</v>
      </c>
      <c r="K629" s="343">
        <f t="shared" ca="1" si="129"/>
        <v>50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IFERROR(__xludf.DUMMYFUNCTION("IMPORTRANGE(""https://docs.google.com/spreadsheets/d/1SX6NBoVAgQJ6U1MVXOaj8PK2l7WJ3RER9xtqwdhxkhw/edit?usp=sharing"",""อ่างทอง!I525"")"),169583.93)</f>
        <v>169583.93</v>
      </c>
      <c r="J630" s="342">
        <f ca="1">IFERROR(__xludf.DUMMYFUNCTION("IMPORTRANGE(""https://docs.google.com/spreadsheets/d/1SX6NBoVAgQJ6U1MVXOaj8PK2l7WJ3RER9xtqwdhxkhw/edit?usp=sharing"",""อ่างทอง!J525"")"),128439.45)</f>
        <v>128439.45</v>
      </c>
      <c r="K630" s="343">
        <f t="shared" ca="1" si="129"/>
        <v>75.737984135643046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IFERROR(__xludf.DUMMYFUNCTION("IMPORTRANGE(""https://docs.google.com/spreadsheets/d/1SX6NBoVAgQJ6U1MVXOaj8PK2l7WJ3RER9xtqwdhxkhw/edit?usp=sharing"",""อ่างทอง!I526"")"),6)</f>
        <v>6</v>
      </c>
      <c r="J631" s="342">
        <f ca="1">IFERROR(__xludf.DUMMYFUNCTION("IMPORTRANGE(""https://docs.google.com/spreadsheets/d/1SX6NBoVAgQJ6U1MVXOaj8PK2l7WJ3RER9xtqwdhxkhw/edit?usp=sharing"",""อ่างทอง!J526"")"),6)</f>
        <v>6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IFERROR(__xludf.DUMMYFUNCTION("IMPORTRANGE(""https://docs.google.com/spreadsheets/d/1SX6NBoVAgQJ6U1MVXOaj8PK2l7WJ3RER9xtqwdhxkhw/edit?usp=sharing"",""อ่างทอง!I527"")"),39445.31)</f>
        <v>39445.31</v>
      </c>
      <c r="J632" s="342">
        <f ca="1">IFERROR(__xludf.DUMMYFUNCTION("IMPORTRANGE(""https://docs.google.com/spreadsheets/d/1SX6NBoVAgQJ6U1MVXOaj8PK2l7WJ3RER9xtqwdhxkhw/edit?usp=sharing"",""อ่างทอง!J527"")"),38669.81)</f>
        <v>38669.81</v>
      </c>
      <c r="K632" s="343">
        <f t="shared" ca="1" si="129"/>
        <v>98.033986803500852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IFERROR(__xludf.DUMMYFUNCTION("IMPORTRANGE(""https://docs.google.com/spreadsheets/d/1SX6NBoVAgQJ6U1MVXOaj8PK2l7WJ3RER9xtqwdhxkhw/edit?usp=sharing"",""อ่างทอง!I528"")"),52)</f>
        <v>52</v>
      </c>
      <c r="J633" s="342">
        <f ca="1">IFERROR(__xludf.DUMMYFUNCTION("IMPORTRANGE(""https://docs.google.com/spreadsheets/d/1SX6NBoVAgQJ6U1MVXOaj8PK2l7WJ3RER9xtqwdhxkhw/edit?usp=sharing"",""อ่างทอง!J528"")"),52)</f>
        <v>52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IFERROR(__xludf.DUMMYFUNCTION("IMPORTRANGE(""https://docs.google.com/spreadsheets/d/1SX6NBoVAgQJ6U1MVXOaj8PK2l7WJ3RER9xtqwdhxkhw/edit?usp=sharing"",""อ่างทอง!I529"")"),900000)</f>
        <v>900000</v>
      </c>
      <c r="J634" s="342">
        <f ca="1">IFERROR(__xludf.DUMMYFUNCTION("IMPORTRANGE(""https://docs.google.com/spreadsheets/d/1SX6NBoVAgQJ6U1MVXOaj8PK2l7WJ3RER9xtqwdhxkhw/edit?usp=sharing"",""อ่างทอง!J529"")"),0)</f>
        <v>0</v>
      </c>
      <c r="K634" s="343">
        <f t="shared" ca="1" si="129"/>
        <v>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IFERROR(__xludf.DUMMYFUNCTION("IMPORTRANGE(""https://docs.google.com/spreadsheets/d/1SX6NBoVAgQJ6U1MVXOaj8PK2l7WJ3RER9xtqwdhxkhw/edit?usp=sharing"",""อ่างทอง!I530"")"),30)</f>
        <v>30</v>
      </c>
      <c r="J635" s="505">
        <f ca="1">IFERROR(__xludf.DUMMYFUNCTION("IMPORTRANGE(""https://docs.google.com/spreadsheets/d/1SX6NBoVAgQJ6U1MVXOaj8PK2l7WJ3RER9xtqwdhxkhw/edit?usp=sharing"",""อ่างทอง!J530"")"),0)</f>
        <v>0</v>
      </c>
      <c r="K635" s="487">
        <f t="shared" ca="1" si="129"/>
        <v>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IFERROR(__xludf.DUMMYFUNCTION("IMPORTRANGE(""https://docs.google.com/spreadsheets/d/1SX6NBoVAgQJ6U1MVXOaj8PK2l7WJ3RER9xtqwdhxkhw/edit#gid=346597447"",""อ่างทอง!J541"")"),0)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IFERROR(__xludf.DUMMYFUNCTION("IMPORTRANGE(""https://docs.google.com/spreadsheets/d/1SX6NBoVAgQJ6U1MVXOaj8PK2l7WJ3RER9xtqwdhxkhw/edit#gid=346597447"",""อ่างทอง!J542"")"),0)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IFERROR(__xludf.DUMMYFUNCTION("IMPORTRANGE(""https://docs.google.com/spreadsheets/d/1SX6NBoVAgQJ6U1MVXOaj8PK2l7WJ3RER9xtqwdhxkhw/edit#gid=346597447"",""อ่างทอง!I543"")"),0)</f>
        <v>0</v>
      </c>
      <c r="J648" s="537">
        <f ca="1">IFERROR(__xludf.DUMMYFUNCTION("IMPORTRANGE(""https://docs.google.com/spreadsheets/d/1SX6NBoVAgQJ6U1MVXOaj8PK2l7WJ3RER9xtqwdhxkhw/edit#gid=346597447"",""อ่างทอง!J543"")"),0)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IFERROR(__xludf.DUMMYFUNCTION("IMPORTRANGE(""https://docs.google.com/spreadsheets/d/1SX6NBoVAgQJ6U1MVXOaj8PK2l7WJ3RER9xtqwdhxkhw/edit#gid=346597447"",""อ่างทอง!L543"")"),0)</f>
        <v>0</v>
      </c>
      <c r="M648" s="522"/>
      <c r="N648" s="539">
        <f ca="1">IFERROR(__xludf.DUMMYFUNCTION("IMPORTRANGE(""https://docs.google.com/spreadsheets/d/1SX6NBoVAgQJ6U1MVXOaj8PK2l7WJ3RER9xtqwdhxkhw/edit#gid=346597447"",""อ่างทอง!M543"")"),0)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IFERROR(__xludf.DUMMYFUNCTION("IMPORTRANGE(""https://docs.google.com/spreadsheets/d/1SX6NBoVAgQJ6U1MVXOaj8PK2l7WJ3RER9xtqwdhxkhw/edit#gid=346597447"",""อ่างทอง!I544"")"),0)</f>
        <v>0</v>
      </c>
      <c r="J649" s="537">
        <f ca="1">IFERROR(__xludf.DUMMYFUNCTION("IMPORTRANGE(""https://docs.google.com/spreadsheets/d/1SX6NBoVAgQJ6U1MVXOaj8PK2l7WJ3RER9xtqwdhxkhw/edit#gid=346597447"",""อ่างทอง!J544"")"),0)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IFERROR(__xludf.DUMMYFUNCTION("IMPORTRANGE(""https://docs.google.com/spreadsheets/d/1SX6NBoVAgQJ6U1MVXOaj8PK2l7WJ3RER9xtqwdhxkhw/edit#gid=346597447"",""อ่างทอง!L544"")"),0)</f>
        <v>0</v>
      </c>
      <c r="M649" s="522"/>
      <c r="N649" s="539">
        <f ca="1">IFERROR(__xludf.DUMMYFUNCTION("IMPORTRANGE(""https://docs.google.com/spreadsheets/d/1SX6NBoVAgQJ6U1MVXOaj8PK2l7WJ3RER9xtqwdhxkhw/edit#gid=346597447"",""อ่างทอง!M544"")"),0)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IFERROR(__xludf.DUMMYFUNCTION("IMPORTRANGE(""https://docs.google.com/spreadsheets/d/1SX6NBoVAgQJ6U1MVXOaj8PK2l7WJ3RER9xtqwdhxkhw/edit#gid=346597447"",""อ่างทอง!I545"")"),0)</f>
        <v>0</v>
      </c>
      <c r="J650" s="537">
        <f ca="1">IFERROR(__xludf.DUMMYFUNCTION("IMPORTRANGE(""https://docs.google.com/spreadsheets/d/1SX6NBoVAgQJ6U1MVXOaj8PK2l7WJ3RER9xtqwdhxkhw/edit#gid=346597447"",""อ่างทอง!J545"")"),0)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IFERROR(__xludf.DUMMYFUNCTION("IMPORTRANGE(""https://docs.google.com/spreadsheets/d/1SX6NBoVAgQJ6U1MVXOaj8PK2l7WJ3RER9xtqwdhxkhw/edit#gid=346597447"",""อ่างทอง!L545"")"),0)</f>
        <v>0</v>
      </c>
      <c r="M650" s="522"/>
      <c r="N650" s="539">
        <f ca="1">IFERROR(__xludf.DUMMYFUNCTION("IMPORTRANGE(""https://docs.google.com/spreadsheets/d/1SX6NBoVAgQJ6U1MVXOaj8PK2l7WJ3RER9xtqwdhxkhw/edit#gid=346597447"",""อ่างทอง!M545"")"),0)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IFERROR(__xludf.DUMMYFUNCTION("IMPORTRANGE(""https://docs.google.com/spreadsheets/d/1SX6NBoVAgQJ6U1MVXOaj8PK2l7WJ3RER9xtqwdhxkhw/edit#gid=346597447"",""อ่างทอง!I546"")"),0)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IFERROR(__xludf.DUMMYFUNCTION("IMPORTRANGE(""https://docs.google.com/spreadsheets/d/1SX6NBoVAgQJ6U1MVXOaj8PK2l7WJ3RER9xtqwdhxkhw/edit#gid=346597447"",""อ่างทอง!L546"")"),0)</f>
        <v>0</v>
      </c>
      <c r="M651" s="522"/>
      <c r="N651" s="539">
        <f ca="1">IFERROR(__xludf.DUMMYFUNCTION("IMPORTRANGE(""https://docs.google.com/spreadsheets/d/1SX6NBoVAgQJ6U1MVXOaj8PK2l7WJ3RER9xtqwdhxkhw/edit#gid=346597447"",""อ่างทอง!M546"")"),0)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IFERROR(__xludf.DUMMYFUNCTION("IMPORTRANGE(""https://docs.google.com/spreadsheets/d/1SX6NBoVAgQJ6U1MVXOaj8PK2l7WJ3RER9xtqwdhxkhw/edit#gid=346597447"",""อ่างทอง!J547"")"),0)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IFERROR(__xludf.DUMMYFUNCTION("IMPORTRANGE(""https://docs.google.com/spreadsheets/d/1SX6NBoVAgQJ6U1MVXOaj8PK2l7WJ3RER9xtqwdhxkhw/edit#gid=346597447"",""อ่างทอง!J548"")"),0)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IFERROR(__xludf.DUMMYFUNCTION("IMPORTRANGE(""https://docs.google.com/spreadsheets/d/1SX6NBoVAgQJ6U1MVXOaj8PK2l7WJ3RER9xtqwdhxkhw/edit#gid=346597447"",""อ่างทอง!J550"")"),0)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IFERROR(__xludf.DUMMYFUNCTION("IMPORTRANGE(""https://docs.google.com/spreadsheets/d/1SX6NBoVAgQJ6U1MVXOaj8PK2l7WJ3RER9xtqwdhxkhw/edit#gid=346597447"",""อ่างทอง!J551"")"),0)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IFERROR(__xludf.DUMMYFUNCTION("IMPORTRANGE(""https://docs.google.com/spreadsheets/d/1SX6NBoVAgQJ6U1MVXOaj8PK2l7WJ3RER9xtqwdhxkhw/edit#gid=346597447"",""อ่างทอง!J552"")"),0)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IFERROR(__xludf.DUMMYFUNCTION("IMPORTRANGE(""https://docs.google.com/spreadsheets/d/1SX6NBoVAgQJ6U1MVXOaj8PK2l7WJ3RER9xtqwdhxkhw/edit#gid=346597447"",""อ่างทอง!J553"")"),0)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IFERROR(__xludf.DUMMYFUNCTION("IMPORTRANGE(""https://docs.google.com/spreadsheets/d/1SX6NBoVAgQJ6U1MVXOaj8PK2l7WJ3RER9xtqwdhxkhw/edit#gid=346597447"",""อ่างทอง!J554"")"),0)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IFERROR(__xludf.DUMMYFUNCTION("IMPORTRANGE(""https://docs.google.com/spreadsheets/d/1SX6NBoVAgQJ6U1MVXOaj8PK2l7WJ3RER9xtqwdhxkhw/edit#gid=346597447"",""อ่างทอง!J555"")"),0)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IFERROR(__xludf.DUMMYFUNCTION("IMPORTRANGE(""https://docs.google.com/spreadsheets/d/1SX6NBoVAgQJ6U1MVXOaj8PK2l7WJ3RER9xtqwdhxkhw/edit#gid=346597447"",""อ่างทอง!J556"")"),0)</f>
        <v>0</v>
      </c>
      <c r="K661" s="538"/>
      <c r="L661" s="523">
        <f ca="1">IFERROR(__xludf.DUMMYFUNCTION("IMPORTRANGE(""https://docs.google.com/spreadsheets/d/1SX6NBoVAgQJ6U1MVXOaj8PK2l7WJ3RER9xtqwdhxkhw/edit#gid=346597447"",""อ่างทอง!L556"")"),0)</f>
        <v>0</v>
      </c>
      <c r="M661" s="522"/>
      <c r="N661" s="539">
        <f ca="1">IFERROR(__xludf.DUMMYFUNCTION("IMPORTRANGE(""https://docs.google.com/spreadsheets/d/1SX6NBoVAgQJ6U1MVXOaj8PK2l7WJ3RER9xtqwdhxkhw/edit#gid=346597447"",""อ่างทอง!M556"")"),0)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IFERROR(__xludf.DUMMYFUNCTION("IMPORTRANGE(""https://docs.google.com/spreadsheets/d/1SX6NBoVAgQJ6U1MVXOaj8PK2l7WJ3RER9xtqwdhxkhw/edit#gid=346597447"",""อ่างทอง!J557"")"),0)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IFERROR(__xludf.DUMMYFUNCTION("IMPORTRANGE(""https://docs.google.com/spreadsheets/d/1SX6NBoVAgQJ6U1MVXOaj8PK2l7WJ3RER9xtqwdhxkhw/edit#gid=346597447"",""อ่างทอง!I558"")"),0)</f>
        <v>0</v>
      </c>
      <c r="J663" s="537">
        <f ca="1">IFERROR(__xludf.DUMMYFUNCTION("IMPORTRANGE(""https://docs.google.com/spreadsheets/d/1SX6NBoVAgQJ6U1MVXOaj8PK2l7WJ3RER9xtqwdhxkhw/edit#gid=346597447"",""อ่างทอง!J558"")"),0)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IFERROR(__xludf.DUMMYFUNCTION("IMPORTRANGE(""https://docs.google.com/spreadsheets/d/1SX6NBoVAgQJ6U1MVXOaj8PK2l7WJ3RER9xtqwdhxkhw/edit#gid=346597447"",""อ่างทอง!I560"")"),0)</f>
        <v>0</v>
      </c>
      <c r="J665" s="537">
        <f ca="1">IFERROR(__xludf.DUMMYFUNCTION("IMPORTRANGE(""https://docs.google.com/spreadsheets/d/1SX6NBoVAgQJ6U1MVXOaj8PK2l7WJ3RER9xtqwdhxkhw/edit#gid=346597447"",""อ่างทอง!J560"")"),0)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IFERROR(__xludf.DUMMYFUNCTION("IMPORTRANGE(""https://docs.google.com/spreadsheets/d/1SX6NBoVAgQJ6U1MVXOaj8PK2l7WJ3RER9xtqwdhxkhw/edit#gid=346597447"",""อ่างทอง!L560"")"),0)</f>
        <v>0</v>
      </c>
      <c r="M665" s="522"/>
      <c r="N665" s="539">
        <f ca="1">IFERROR(__xludf.DUMMYFUNCTION("IMPORTRANGE(""https://docs.google.com/spreadsheets/d/1SX6NBoVAgQJ6U1MVXOaj8PK2l7WJ3RER9xtqwdhxkhw/edit#gid=346597447"",""อ่างทอง!M560"")"),0)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IFERROR(__xludf.DUMMYFUNCTION("IMPORTRANGE(""https://docs.google.com/spreadsheets/d/1SX6NBoVAgQJ6U1MVXOaj8PK2l7WJ3RER9xtqwdhxkhw/edit#gid=346597447"",""อ่างทอง!J561"")"),0)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IFERROR(__xludf.DUMMYFUNCTION("IMPORTRANGE(""https://docs.google.com/spreadsheets/d/1SX6NBoVAgQJ6U1MVXOaj8PK2l7WJ3RER9xtqwdhxkhw/edit#gid=346597447"",""อ่างทอง!J562"")"),0)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IFERROR(__xludf.DUMMYFUNCTION("IMPORTRANGE(""https://docs.google.com/spreadsheets/d/1SX6NBoVAgQJ6U1MVXOaj8PK2l7WJ3RER9xtqwdhxkhw/edit#gid=346597447"",""อ่างทอง!I563"")"),0)</f>
        <v>0</v>
      </c>
      <c r="J668" s="537">
        <f ca="1">IFERROR(__xludf.DUMMYFUNCTION("IMPORTRANGE(""https://docs.google.com/spreadsheets/d/1SX6NBoVAgQJ6U1MVXOaj8PK2l7WJ3RER9xtqwdhxkhw/edit#gid=346597447"",""อ่างทอง!J563"")"),0)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IFERROR(__xludf.DUMMYFUNCTION("IMPORTRANGE(""https://docs.google.com/spreadsheets/d/1SX6NBoVAgQJ6U1MVXOaj8PK2l7WJ3RER9xtqwdhxkhw/edit#gid=346597447"",""อ่างทอง!L563"")"),0)</f>
        <v>0</v>
      </c>
      <c r="M668" s="522"/>
      <c r="N668" s="539">
        <f ca="1">IFERROR(__xludf.DUMMYFUNCTION("IMPORTRANGE(""https://docs.google.com/spreadsheets/d/1SX6NBoVAgQJ6U1MVXOaj8PK2l7WJ3RER9xtqwdhxkhw/edit#gid=346597447"",""อ่างทอง!M563"")"),0)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IFERROR(__xludf.DUMMYFUNCTION("IMPORTRANGE(""https://docs.google.com/spreadsheets/d/1SX6NBoVAgQJ6U1MVXOaj8PK2l7WJ3RER9xtqwdhxkhw/edit#gid=346597447"",""อ่างทอง!J564"")"),0)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IFERROR(__xludf.DUMMYFUNCTION("IMPORTRANGE(""https://docs.google.com/spreadsheets/d/1SX6NBoVAgQJ6U1MVXOaj8PK2l7WJ3RER9xtqwdhxkhw/edit#gid=346597447"",""อ่างทอง!J565"")"),0)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IFERROR(__xludf.DUMMYFUNCTION("IMPORTRANGE(""https://docs.google.com/spreadsheets/d/1SX6NBoVAgQJ6U1MVXOaj8PK2l7WJ3RER9xtqwdhxkhw/edit#gid=346597447"",""อ่างทอง!I566"")"),0)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IFERROR(__xludf.DUMMYFUNCTION("IMPORTRANGE(""https://docs.google.com/spreadsheets/d/1SX6NBoVAgQJ6U1MVXOaj8PK2l7WJ3RER9xtqwdhxkhw/edit#gid=346597447"",""อ่างทอง!L566"")"),0)</f>
        <v>0</v>
      </c>
      <c r="M671" s="522"/>
      <c r="N671" s="539">
        <f ca="1">IFERROR(__xludf.DUMMYFUNCTION("IMPORTRANGE(""https://docs.google.com/spreadsheets/d/1SX6NBoVAgQJ6U1MVXOaj8PK2l7WJ3RER9xtqwdhxkhw/edit#gid=346597447"",""อ่างทอง!M566"")"),0)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IFERROR(__xludf.DUMMYFUNCTION("IMPORTRANGE(""https://docs.google.com/spreadsheets/d/1SX6NBoVAgQJ6U1MVXOaj8PK2l7WJ3RER9xtqwdhxkhw/edit#gid=346597447"",""อ่างทอง!J567"")"),0)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IFERROR(__xludf.DUMMYFUNCTION("IMPORTRANGE(""https://docs.google.com/spreadsheets/d/1SX6NBoVAgQJ6U1MVXOaj8PK2l7WJ3RER9xtqwdhxkhw/edit#gid=346597447"",""อ่างทอง!J568"")"),0)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IFERROR(__xludf.DUMMYFUNCTION("IMPORTRANGE(""https://docs.google.com/spreadsheets/d/1SX6NBoVAgQJ6U1MVXOaj8PK2l7WJ3RER9xtqwdhxkhw/edit#gid=346597447"",""อ่างทอง!J569"")"),0)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IFERROR(__xludf.DUMMYFUNCTION("IMPORTRANGE(""https://docs.google.com/spreadsheets/d/1SX6NBoVAgQJ6U1MVXOaj8PK2l7WJ3RER9xtqwdhxkhw/edit#gid=346597447"",""อ่างทอง!J570"")"),0)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IFERROR(__xludf.DUMMYFUNCTION("IMPORTRANGE(""https://docs.google.com/spreadsheets/d/1SX6NBoVAgQJ6U1MVXOaj8PK2l7WJ3RER9xtqwdhxkhw/edit#gid=346597447"",""อ่างทอง!J571"")"),0)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IFERROR(__xludf.DUMMYFUNCTION("IMPORTRANGE(""https://docs.google.com/spreadsheets/d/1SX6NBoVAgQJ6U1MVXOaj8PK2l7WJ3RER9xtqwdhxkhw/edit#gid=346597447"",""อ่างทอง!J572"")"),0)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4162768</v>
      </c>
      <c r="M8" s="23">
        <f t="shared" ca="1" si="0"/>
        <v>3316042</v>
      </c>
      <c r="N8" s="23">
        <f t="shared" ca="1" si="0"/>
        <v>3030320.07</v>
      </c>
      <c r="O8" s="22">
        <f t="shared" ref="O8:O16" ca="1" si="1">IF(L8&gt;0,N8*100/L8,0)</f>
        <v>72.795795249699239</v>
      </c>
      <c r="P8" s="22">
        <f t="shared" ref="P8:P16" ca="1" si="2">IF(M8&gt;0,N8*100/M8,0)</f>
        <v>91.383645623306336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4162768</v>
      </c>
      <c r="M10" s="30">
        <f t="shared" ca="1" si="4"/>
        <v>3316042</v>
      </c>
      <c r="N10" s="30">
        <f t="shared" ca="1" si="4"/>
        <v>3030320.07</v>
      </c>
      <c r="O10" s="29">
        <f t="shared" ca="1" si="1"/>
        <v>72.795795249699239</v>
      </c>
      <c r="P10" s="29">
        <f t="shared" ca="1" si="2"/>
        <v>91.383645623306336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3872668</v>
      </c>
      <c r="M12" s="38">
        <f t="shared" ca="1" si="6"/>
        <v>3025942</v>
      </c>
      <c r="N12" s="38">
        <f t="shared" ca="1" si="6"/>
        <v>2740220.07</v>
      </c>
      <c r="O12" s="38">
        <f t="shared" ca="1" si="1"/>
        <v>70.757939229492436</v>
      </c>
      <c r="P12" s="38">
        <f t="shared" ca="1" si="2"/>
        <v>90.557587356267902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1494300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2378368</v>
      </c>
      <c r="M14" s="38">
        <f t="shared" si="8"/>
        <v>0</v>
      </c>
      <c r="N14" s="38">
        <f t="shared" ca="1" si="8"/>
        <v>735920</v>
      </c>
      <c r="O14" s="38">
        <f t="shared" ca="1" si="1"/>
        <v>30.942225929713146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290100</v>
      </c>
      <c r="M16" s="38">
        <f t="shared" ca="1" si="10"/>
        <v>290100</v>
      </c>
      <c r="N16" s="38">
        <f t="shared" ca="1" si="10"/>
        <v>290100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3130545</v>
      </c>
      <c r="M18" s="23">
        <f t="shared" ca="1" si="11"/>
        <v>3316042</v>
      </c>
      <c r="N18" s="23">
        <f t="shared" ca="1" si="11"/>
        <v>2294400.0699999998</v>
      </c>
      <c r="O18" s="22">
        <f t="shared" ref="O18:O20" ca="1" si="12">IF(L18&gt;0,N18*100/L18,0)</f>
        <v>73.290755124107775</v>
      </c>
      <c r="P18" s="22">
        <f t="shared" ref="P18:P26" ca="1" si="13">IF(M18&gt;0,N18*100/M18,0)</f>
        <v>69.190923094460189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3130545</v>
      </c>
      <c r="M20" s="30">
        <f t="shared" ca="1" si="15"/>
        <v>3316042</v>
      </c>
      <c r="N20" s="30">
        <f t="shared" ca="1" si="15"/>
        <v>2294400.0699999998</v>
      </c>
      <c r="O20" s="29">
        <f t="shared" ca="1" si="12"/>
        <v>73.290755124107775</v>
      </c>
      <c r="P20" s="29">
        <f t="shared" ca="1" si="13"/>
        <v>69.190923094460189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2840445</v>
      </c>
      <c r="M22" s="41">
        <f t="shared" ca="1" si="18"/>
        <v>3025942</v>
      </c>
      <c r="N22" s="38">
        <f t="shared" ca="1" si="18"/>
        <v>2004300.0699999998</v>
      </c>
      <c r="O22" s="38">
        <f t="shared" ca="1" si="17"/>
        <v>70.562889617647926</v>
      </c>
      <c r="P22" s="38">
        <f t="shared" ca="1" si="13"/>
        <v>66.237226952796831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1494300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1346145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290100</v>
      </c>
      <c r="M26" s="49">
        <f t="shared" ca="1" si="22"/>
        <v>290100</v>
      </c>
      <c r="N26" s="49">
        <f t="shared" ca="1" si="22"/>
        <v>290100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1032223</v>
      </c>
      <c r="M28" s="23">
        <f t="shared" si="23"/>
        <v>0</v>
      </c>
      <c r="N28" s="23">
        <f t="shared" ca="1" si="23"/>
        <v>735920</v>
      </c>
      <c r="O28" s="22">
        <f t="shared" ref="O28:O30" ca="1" si="24">IF(L28&gt;0,N28*100/L28,0)</f>
        <v>71.29467179088239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1032223</v>
      </c>
      <c r="M30" s="30">
        <f t="shared" si="27"/>
        <v>0</v>
      </c>
      <c r="N30" s="30">
        <f t="shared" ca="1" si="27"/>
        <v>735920</v>
      </c>
      <c r="O30" s="29">
        <f t="shared" ca="1" si="24"/>
        <v>71.29467179088239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1032223</v>
      </c>
      <c r="M32" s="38">
        <f t="shared" si="30"/>
        <v>0</v>
      </c>
      <c r="N32" s="38">
        <f t="shared" ca="1" si="30"/>
        <v>735920</v>
      </c>
      <c r="O32" s="38">
        <f t="shared" ca="1" si="29"/>
        <v>71.29467179088239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1032223</v>
      </c>
      <c r="M34" s="38">
        <f t="shared" si="32"/>
        <v>0</v>
      </c>
      <c r="N34" s="38">
        <f t="shared" ca="1" si="32"/>
        <v>735920</v>
      </c>
      <c r="O34" s="38">
        <f t="shared" ca="1" si="29"/>
        <v>71.29467179088239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3130545</v>
      </c>
      <c r="M37" s="54">
        <f t="shared" ca="1" si="33"/>
        <v>3316042</v>
      </c>
      <c r="N37" s="54">
        <f t="shared" ca="1" si="33"/>
        <v>2294400.0699999998</v>
      </c>
      <c r="O37" s="55">
        <f t="shared" ca="1" si="29"/>
        <v>73.290755124107775</v>
      </c>
      <c r="P37" s="55">
        <f t="shared" ca="1" si="25"/>
        <v>69.190923094460189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622100</v>
      </c>
      <c r="N41" s="78">
        <f t="shared" ca="1" si="34"/>
        <v>457087.96</v>
      </c>
      <c r="O41" s="77">
        <f t="shared" ref="O41:O43" ca="1" si="35">IF(L41&gt;0,N41*100/L41,0)</f>
        <v>74.432170656244907</v>
      </c>
      <c r="P41" s="77">
        <f t="shared" ref="P41:P43" ca="1" si="36">IF(M41&gt;0,N41*100/M41,0)</f>
        <v>73.474997588812087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622100</v>
      </c>
      <c r="N43" s="78">
        <f t="shared" ca="1" si="38"/>
        <v>457087.96</v>
      </c>
      <c r="O43" s="77">
        <f t="shared" ca="1" si="35"/>
        <v>74.432170656244907</v>
      </c>
      <c r="P43" s="77">
        <f t="shared" ca="1" si="36"/>
        <v>73.474997588812087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614100</v>
      </c>
      <c r="M45" s="49">
        <f ca="1">IFERROR(__xludf.DUMMYFUNCTION("IMPORTRANGE(""https://docs.google.com/spreadsheets/d/1Yj_ptqi66GCucihVvJfMjLAmec39IyEx_6qawtMGysU/edit?usp=sharing"",""สบก!Q60"")"),622100)</f>
        <v>622100</v>
      </c>
      <c r="N45" s="49">
        <f ca="1">IFERROR(__xludf.DUMMYFUNCTION("IMPORTRANGE(""https://docs.google.com/spreadsheets/d/1Yj_ptqi66GCucihVvJfMjLAmec39IyEx_6qawtMGysU/edit?usp=sharing"",""สบก!R60"")"),457087.96)</f>
        <v>457087.96</v>
      </c>
      <c r="O45" s="38">
        <f ca="1">IF(L45&gt;0,N45*100/L45,0)</f>
        <v>74.432170656244907</v>
      </c>
      <c r="P45" s="38">
        <f ca="1">IF(M45&gt;0,N45*100/M45,0)</f>
        <v>73.474997588812087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IFERROR(__xludf.DUMMYFUNCTION("IMPORTRANGE(""https://docs.google.com/spreadsheets/d/1Yj_ptqi66GCucihVvJfMjLAmec39IyEx_6qawtMGysU/edit?usp=sharing"",""สบก!M60"")"),614100)</f>
        <v>614100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IFERROR(__xludf.DUMMYFUNCTION("IMPORTRANGE(""https://docs.google.com/spreadsheets/d/1Yj_ptqi66GCucihVvJfMjLAmec39IyEx_6qawtMGysU/edit?usp=sharing"",""สบก!O60"")"),0)</f>
        <v>0</v>
      </c>
      <c r="M49" s="49"/>
      <c r="N49" s="49">
        <f ca="1">IFERROR(__xludf.DUMMYFUNCTION("IMPORTRANGE(""https://docs.google.com/spreadsheets/d/1Yj_ptqi66GCucihVvJfMjLAmec39IyEx_6qawtMGysU/edit?usp=sharing"",""สบก!S60"")"),0)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267000</v>
      </c>
      <c r="M53" s="121">
        <f t="shared" ca="1" si="39"/>
        <v>277277</v>
      </c>
      <c r="N53" s="121">
        <f t="shared" ca="1" si="39"/>
        <v>267440</v>
      </c>
      <c r="O53" s="120">
        <f t="shared" ref="O53:O55" ca="1" si="40">IF(L53&gt;0,N53*100/L53,0)</f>
        <v>100.16479400749064</v>
      </c>
      <c r="P53" s="120">
        <f t="shared" ref="P53:P55" ca="1" si="41">IF(M53&gt;0,N53*100/M53,0)</f>
        <v>96.452284177915942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267000</v>
      </c>
      <c r="M55" s="121">
        <f t="shared" ca="1" si="43"/>
        <v>277277</v>
      </c>
      <c r="N55" s="121">
        <f t="shared" ca="1" si="43"/>
        <v>267440</v>
      </c>
      <c r="O55" s="120">
        <f t="shared" ca="1" si="40"/>
        <v>100.16479400749064</v>
      </c>
      <c r="P55" s="120">
        <f t="shared" ca="1" si="41"/>
        <v>96.452284177915942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267000</v>
      </c>
      <c r="M57" s="49">
        <f ca="1">IFERROR(__xludf.DUMMYFUNCTION("IMPORTRANGE(""https://docs.google.com/spreadsheets/d/1Yj_ptqi66GCucihVvJfMjLAmec39IyEx_6qawtMGysU/edit?usp=sharing"",""สบก!Z60"")"),277277)</f>
        <v>277277</v>
      </c>
      <c r="N57" s="49">
        <f ca="1">IFERROR(__xludf.DUMMYFUNCTION("IMPORTRANGE(""https://docs.google.com/spreadsheets/d/1Yj_ptqi66GCucihVvJfMjLAmec39IyEx_6qawtMGysU/edit?usp=sharing"",""สบก!AA60"")"),267440)</f>
        <v>267440</v>
      </c>
      <c r="O57" s="38">
        <f ca="1">IF(L57&gt;0,N57*100/L57,0)</f>
        <v>100.16479400749064</v>
      </c>
      <c r="P57" s="38">
        <f ca="1">IF(M57&gt;0,N57*100/M57,0)</f>
        <v>96.452284177915942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IFERROR(__xludf.DUMMYFUNCTION("IMPORTRANGE(""https://docs.google.com/spreadsheets/d/1Yj_ptqi66GCucihVvJfMjLAmec39IyEx_6qawtMGysU/edit?usp=sharing"",""สบก!V60"")"),267000)</f>
        <v>267000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IFERROR(__xludf.DUMMYFUNCTION("IMPORTRANGE(""https://docs.google.com/spreadsheets/d/1Yj_ptqi66GCucihVvJfMjLAmec39IyEx_6qawtMGysU/edit?usp=sharing"",""สบก!X60"")"),0)</f>
        <v>0</v>
      </c>
      <c r="M61" s="49"/>
      <c r="N61" s="49">
        <f ca="1">IFERROR(__xludf.DUMMYFUNCTION("IMPORTRANGE(""https://docs.google.com/spreadsheets/d/1Yj_ptqi66GCucihVvJfMjLAmec39IyEx_6qawtMGysU/edit?usp=sharing"",""สบก!AB60"")"),0)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IFERROR(__xludf.DUMMYFUNCTION("IMPORTRANGE(""https://docs.google.com/spreadsheets/d/1SX6NBoVAgQJ6U1MVXOaj8PK2l7WJ3RER9xtqwdhxkhw/edit?usp=sharing"",""จันทบุรี!I9"")"),1)</f>
        <v>1</v>
      </c>
      <c r="J64" s="142">
        <f ca="1">IFERROR(__xludf.DUMMYFUNCTION("IMPORTRANGE(""https://docs.google.com/spreadsheets/d/1SX6NBoVAgQJ6U1MVXOaj8PK2l7WJ3RER9xtqwdhxkhw/edit?usp=sharing"",""จันทบุรี!J9"")"),1)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IFERROR(__xludf.DUMMYFUNCTION("IMPORTRANGE(""https://docs.google.com/spreadsheets/d/1SX6NBoVAgQJ6U1MVXOaj8PK2l7WJ3RER9xtqwdhxkhw/edit?usp=sharing"",""จันทบุรี!I10"")"),60)</f>
        <v>60</v>
      </c>
      <c r="J65" s="142">
        <f ca="1">IFERROR(__xludf.DUMMYFUNCTION("IMPORTRANGE(""https://docs.google.com/spreadsheets/d/1SX6NBoVAgQJ6U1MVXOaj8PK2l7WJ3RER9xtqwdhxkhw/edit?usp=sharing"",""จันทบุรี!J10"")"),60)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1003300</v>
      </c>
      <c r="M66" s="152">
        <f t="shared" ca="1" si="45"/>
        <v>1037520</v>
      </c>
      <c r="N66" s="152">
        <f t="shared" ca="1" si="45"/>
        <v>647505.11</v>
      </c>
      <c r="O66" s="151">
        <f t="shared" ref="O66:O68" ca="1" si="46">IF(L66&gt;0,N66*100/L66,0)</f>
        <v>64.537537127479325</v>
      </c>
      <c r="P66" s="151">
        <f t="shared" ref="P66:P68" ca="1" si="47">IF(M66&gt;0,N66*100/M66,0)</f>
        <v>62.408928020664661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1003300</v>
      </c>
      <c r="M68" s="157">
        <f t="shared" ca="1" si="49"/>
        <v>1037520</v>
      </c>
      <c r="N68" s="157">
        <f t="shared" ca="1" si="49"/>
        <v>647505.11</v>
      </c>
      <c r="O68" s="156">
        <f t="shared" ca="1" si="46"/>
        <v>64.537537127479325</v>
      </c>
      <c r="P68" s="156">
        <f t="shared" ca="1" si="47"/>
        <v>62.408928020664661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713200</v>
      </c>
      <c r="M70" s="168">
        <f ca="1">IFERROR(__xludf.DUMMYFUNCTION("IMPORTRANGE(""https://docs.google.com/spreadsheets/d/1Yj_ptqi66GCucihVvJfMjLAmec39IyEx_6qawtMGysU/edit?usp=sharing"",""สบก!AI60"")"),747420)</f>
        <v>747420</v>
      </c>
      <c r="N70" s="169">
        <f ca="1">IFERROR(__xludf.DUMMYFUNCTION("IMPORTRANGE(""https://docs.google.com/spreadsheets/d/1Yj_ptqi66GCucihVvJfMjLAmec39IyEx_6qawtMGysU/edit?usp=sharing"",""สบก!AJ60"")"),357405.11)</f>
        <v>357405.11</v>
      </c>
      <c r="O70" s="169">
        <f ca="1">IF(L70&gt;0,N70*100/L70,0)</f>
        <v>50.112886988222101</v>
      </c>
      <c r="P70" s="169">
        <f ca="1">IF(M70&gt;0,N70*100/M70,0)</f>
        <v>47.818510342243989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IFERROR(__xludf.DUMMYFUNCTION("IMPORTRANGE(""https://docs.google.com/spreadsheets/d/1Yj_ptqi66GCucihVvJfMjLAmec39IyEx_6qawtMGysU/edit?usp=sharing"",""สบก!AE60"")"),175200)</f>
        <v>175200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IFERROR(__xludf.DUMMYFUNCTION("IMPORTRANGE(""https://docs.google.com/spreadsheets/d/1Yj_ptqi66GCucihVvJfMjLAmec39IyEx_6qawtMGysU/edit?usp=sharing"",""สบก!AF60"")"),538000)</f>
        <v>538000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IFERROR(__xludf.DUMMYFUNCTION("IMPORTRANGE(""https://docs.google.com/spreadsheets/d/1Yj_ptqi66GCucihVvJfMjLAmec39IyEx_6qawtMGysU/edit?usp=sharing"",""สบก!AG60"")"),290100)</f>
        <v>290100</v>
      </c>
      <c r="M74" s="49">
        <f ca="1">L74</f>
        <v>290100</v>
      </c>
      <c r="N74" s="49">
        <f ca="1">IFERROR(__xludf.DUMMYFUNCTION("IMPORTRANGE(""https://docs.google.com/spreadsheets/d/1Yj_ptqi66GCucihVvJfMjLAmec39IyEx_6qawtMGysU/edit?usp=sharing"",""สบก!AK60"")"),290100)</f>
        <v>290100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IFERROR(__xludf.DUMMYFUNCTION("IMPORTRANGE(""https://docs.google.com/spreadsheets/d/1SX6NBoVAgQJ6U1MVXOaj8PK2l7WJ3RER9xtqwdhxkhw/edit?usp=sharing"",""จันทบุรี!J16"")"),0)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IFERROR(__xludf.DUMMYFUNCTION("IMPORTRANGE(""https://docs.google.com/spreadsheets/d/1SX6NBoVAgQJ6U1MVXOaj8PK2l7WJ3RER9xtqwdhxkhw/edit?usp=sharing"",""จันทบุรี!J17"")"),1)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IFERROR(__xludf.DUMMYFUNCTION("IMPORTRANGE(""https://docs.google.com/spreadsheets/d/1SX6NBoVAgQJ6U1MVXOaj8PK2l7WJ3RER9xtqwdhxkhw/edit?usp=sharing"",""จันทบุรี!J18"")"),1)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IFERROR(__xludf.DUMMYFUNCTION("IMPORTRANGE(""https://docs.google.com/spreadsheets/d/1SX6NBoVAgQJ6U1MVXOaj8PK2l7WJ3RER9xtqwdhxkhw/edit?usp=sharing"",""จันทบุรี!J19"")"),1)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IFERROR(__xludf.DUMMYFUNCTION("IMPORTRANGE(""https://docs.google.com/spreadsheets/d/1SX6NBoVAgQJ6U1MVXOaj8PK2l7WJ3RER9xtqwdhxkhw/edit?usp=sharing"",""จันทบุรี!I20"")"),1)</f>
        <v>1</v>
      </c>
      <c r="J80" s="201">
        <f ca="1">IFERROR(__xludf.DUMMYFUNCTION("IMPORTRANGE(""https://docs.google.com/spreadsheets/d/1SX6NBoVAgQJ6U1MVXOaj8PK2l7WJ3RER9xtqwdhxkhw/edit?usp=sharing"",""จันทบุรี!J20"")"),1)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IFERROR(__xludf.DUMMYFUNCTION("IMPORTRANGE(""https://docs.google.com/spreadsheets/d/1SX6NBoVAgQJ6U1MVXOaj8PK2l7WJ3RER9xtqwdhxkhw/edit?usp=sharing"",""จันทบุรี!I21"")"),60)</f>
        <v>60</v>
      </c>
      <c r="J81" s="201">
        <f ca="1">IFERROR(__xludf.DUMMYFUNCTION("IMPORTRANGE(""https://docs.google.com/spreadsheets/d/1SX6NBoVAgQJ6U1MVXOaj8PK2l7WJ3RER9xtqwdhxkhw/edit?usp=sharing"",""จันทบุรี!J21"")"),60)</f>
        <v>60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IFERROR(__xludf.DUMMYFUNCTION("IMPORTRANGE(""https://docs.google.com/spreadsheets/d/1SX6NBoVAgQJ6U1MVXOaj8PK2l7WJ3RER9xtqwdhxkhw/edit?usp=sharing"",""จันทบุรี!I22"")"),0)</f>
        <v>0</v>
      </c>
      <c r="J82" s="204">
        <f ca="1">IFERROR(__xludf.DUMMYFUNCTION("IMPORTRANGE(""https://docs.google.com/spreadsheets/d/1SX6NBoVAgQJ6U1MVXOaj8PK2l7WJ3RER9xtqwdhxkhw/edit?usp=sharing"",""จันทบุรี!J22"")"),0)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IFERROR(__xludf.DUMMYFUNCTION("IMPORTRANGE(""https://docs.google.com/spreadsheets/d/1SX6NBoVAgQJ6U1MVXOaj8PK2l7WJ3RER9xtqwdhxkhw/edit?usp=sharing"",""จันทบุรี!I23"")"),0)</f>
        <v>0</v>
      </c>
      <c r="J83" s="204">
        <f ca="1">IFERROR(__xludf.DUMMYFUNCTION("IMPORTRANGE(""https://docs.google.com/spreadsheets/d/1SX6NBoVAgQJ6U1MVXOaj8PK2l7WJ3RER9xtqwdhxkhw/edit?usp=sharing"",""จันทบุรี!J23"")"),0)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IFERROR(__xludf.DUMMYFUNCTION("IMPORTRANGE(""https://docs.google.com/spreadsheets/d/1SX6NBoVAgQJ6U1MVXOaj8PK2l7WJ3RER9xtqwdhxkhw/edit?usp=sharing"",""จันทบุรี!I24"")"),0)</f>
        <v>0</v>
      </c>
      <c r="J84" s="189">
        <f ca="1">IFERROR(__xludf.DUMMYFUNCTION("IMPORTRANGE(""https://docs.google.com/spreadsheets/d/1SX6NBoVAgQJ6U1MVXOaj8PK2l7WJ3RER9xtqwdhxkhw/edit?usp=sharing"",""จันทบุรี!J24"")"),0)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IFERROR(__xludf.DUMMYFUNCTION("IMPORTRANGE(""https://docs.google.com/spreadsheets/d/1SX6NBoVAgQJ6U1MVXOaj8PK2l7WJ3RER9xtqwdhxkhw/edit?usp=sharing"",""จันทบุรี!I25"")"),0)</f>
        <v>0</v>
      </c>
      <c r="J85" s="189">
        <f ca="1">IFERROR(__xludf.DUMMYFUNCTION("IMPORTRANGE(""https://docs.google.com/spreadsheets/d/1SX6NBoVAgQJ6U1MVXOaj8PK2l7WJ3RER9xtqwdhxkhw/edit?usp=sharing"",""จันทบุรี!J25"")"),0)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IFERROR(__xludf.DUMMYFUNCTION("IMPORTRANGE(""https://docs.google.com/spreadsheets/d/1SX6NBoVAgQJ6U1MVXOaj8PK2l7WJ3RER9xtqwdhxkhw/edit?usp=sharing"",""จันทบุรี!I26"")"),1)</f>
        <v>1</v>
      </c>
      <c r="J86" s="204">
        <f ca="1">IFERROR(__xludf.DUMMYFUNCTION("IMPORTRANGE(""https://docs.google.com/spreadsheets/d/1SX6NBoVAgQJ6U1MVXOaj8PK2l7WJ3RER9xtqwdhxkhw/edit?usp=sharing"",""จันทบุรี!J26"")"),1)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IFERROR(__xludf.DUMMYFUNCTION("IMPORTRANGE(""https://docs.google.com/spreadsheets/d/1SX6NBoVAgQJ6U1MVXOaj8PK2l7WJ3RER9xtqwdhxkhw/edit?usp=sharing"",""จันทบุรี!I27"")"),60)</f>
        <v>60</v>
      </c>
      <c r="J87" s="204">
        <f ca="1">IFERROR(__xludf.DUMMYFUNCTION("IMPORTRANGE(""https://docs.google.com/spreadsheets/d/1SX6NBoVAgQJ6U1MVXOaj8PK2l7WJ3RER9xtqwdhxkhw/edit?usp=sharing"",""จันทบุรี!J27"")"),60)</f>
        <v>60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IFERROR(__xludf.DUMMYFUNCTION("IMPORTRANGE(""https://docs.google.com/spreadsheets/d/1SX6NBoVAgQJ6U1MVXOaj8PK2l7WJ3RER9xtqwdhxkhw/edit?usp=sharing"",""จันทบุรี!I28"")"),1)</f>
        <v>1</v>
      </c>
      <c r="J88" s="204">
        <f ca="1">IFERROR(__xludf.DUMMYFUNCTION("IMPORTRANGE(""https://docs.google.com/spreadsheets/d/1SX6NBoVAgQJ6U1MVXOaj8PK2l7WJ3RER9xtqwdhxkhw/edit?usp=sharing"",""จันทบุรี!J28"")"),0)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IFERROR(__xludf.DUMMYFUNCTION("IMPORTRANGE(""https://docs.google.com/spreadsheets/d/1SX6NBoVAgQJ6U1MVXOaj8PK2l7WJ3RER9xtqwdhxkhw/edit?usp=sharing"",""จันทบุรี!J29"")"),0)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IFERROR(__xludf.DUMMYFUNCTION("IMPORTRANGE(""https://docs.google.com/spreadsheets/d/1SX6NBoVAgQJ6U1MVXOaj8PK2l7WJ3RER9xtqwdhxkhw/edit?usp=sharing"",""จันทบุรี!J30"")"),0)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IFERROR(__xludf.DUMMYFUNCTION("IMPORTRANGE(""https://docs.google.com/spreadsheets/d/1SX6NBoVAgQJ6U1MVXOaj8PK2l7WJ3RER9xtqwdhxkhw/edit?usp=sharing"",""จันทบุรี!I32"")"),0)</f>
        <v>0</v>
      </c>
      <c r="J92" s="142">
        <f ca="1">IFERROR(__xludf.DUMMYFUNCTION("IMPORTRANGE(""https://docs.google.com/spreadsheets/d/1SX6NBoVAgQJ6U1MVXOaj8PK2l7WJ3RER9xtqwdhxkhw/edit?usp=sharing"",""จันทบุรี!J32"")"),0)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IFERROR(__xludf.DUMMYFUNCTION("IMPORTRANGE(""https://docs.google.com/spreadsheets/d/1SX6NBoVAgQJ6U1MVXOaj8PK2l7WJ3RER9xtqwdhxkhw/edit?usp=sharing"",""จันทบุรี!I33"")"),0)</f>
        <v>0</v>
      </c>
      <c r="J93" s="142">
        <f ca="1">IFERROR(__xludf.DUMMYFUNCTION("IMPORTRANGE(""https://docs.google.com/spreadsheets/d/1SX6NBoVAgQJ6U1MVXOaj8PK2l7WJ3RER9xtqwdhxkhw/edit?usp=sharing"",""จันทบุรี!J33"")"),0)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IFERROR(__xludf.DUMMYFUNCTION("IMPORTRANGE(""https://docs.google.com/spreadsheets/d/1Yj_ptqi66GCucihVvJfMjLAmec39IyEx_6qawtMGysU/edit?usp=sharing"",""สบก!AR60"")"),0)</f>
        <v>0</v>
      </c>
      <c r="N98" s="169">
        <f ca="1">IFERROR(__xludf.DUMMYFUNCTION("IMPORTRANGE(""https://docs.google.com/spreadsheets/d/1Yj_ptqi66GCucihVvJfMjLAmec39IyEx_6qawtMGysU/edit?usp=sharing"",""สบก!AS60"")"),0)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IFERROR(__xludf.DUMMYFUNCTION("IMPORTRANGE(""https://docs.google.com/spreadsheets/d/1Yj_ptqi66GCucihVvJfMjLAmec39IyEx_6qawtMGysU/edit?usp=sharing"",""สบก!AP60"")"),0)</f>
        <v>0</v>
      </c>
      <c r="M102" s="49"/>
      <c r="N102" s="49">
        <f ca="1">IFERROR(__xludf.DUMMYFUNCTION("IMPORTRANGE(""https://docs.google.com/spreadsheets/d/1Yj_ptqi66GCucihVvJfMjLAmec39IyEx_6qawtMGysU/edit?usp=sharing"",""สบก!AT60"")"),0)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IFERROR(__xludf.DUMMYFUNCTION("IMPORTRANGE(""https://docs.google.com/spreadsheets/d/1SX6NBoVAgQJ6U1MVXOaj8PK2l7WJ3RER9xtqwdhxkhw/edit?usp=sharing"",""จันทบุรี!J39"")"),0)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IFERROR(__xludf.DUMMYFUNCTION("IMPORTRANGE(""https://docs.google.com/spreadsheets/d/1SX6NBoVAgQJ6U1MVXOaj8PK2l7WJ3RER9xtqwdhxkhw/edit?usp=sharing"",""จันทบุรี!J40"")"),0)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IFERROR(__xludf.DUMMYFUNCTION("IMPORTRANGE(""https://docs.google.com/spreadsheets/d/1SX6NBoVAgQJ6U1MVXOaj8PK2l7WJ3RER9xtqwdhxkhw/edit?usp=sharing"",""จันทบุรี!J41"")"),0)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IFERROR(__xludf.DUMMYFUNCTION("IMPORTRANGE(""https://docs.google.com/spreadsheets/d/1SX6NBoVAgQJ6U1MVXOaj8PK2l7WJ3RER9xtqwdhxkhw/edit?usp=sharing"",""จันทบุรี!J42"")"),0)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IFERROR(__xludf.DUMMYFUNCTION("IMPORTRANGE(""https://docs.google.com/spreadsheets/d/1SX6NBoVAgQJ6U1MVXOaj8PK2l7WJ3RER9xtqwdhxkhw/edit?usp=sharing"",""จันทบุรี!I43"")"),0)</f>
        <v>0</v>
      </c>
      <c r="J108" s="204">
        <f ca="1">IFERROR(__xludf.DUMMYFUNCTION("IMPORTRANGE(""https://docs.google.com/spreadsheets/d/1SX6NBoVAgQJ6U1MVXOaj8PK2l7WJ3RER9xtqwdhxkhw/edit?usp=sharing"",""จันทบุรี!J43"")"),0)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IFERROR(__xludf.DUMMYFUNCTION("IMPORTRANGE(""https://docs.google.com/spreadsheets/d/1SX6NBoVAgQJ6U1MVXOaj8PK2l7WJ3RER9xtqwdhxkhw/edit?usp=sharing"",""จันทบุรี!I44"")"),0)</f>
        <v>0</v>
      </c>
      <c r="J109" s="204">
        <f ca="1">IFERROR(__xludf.DUMMYFUNCTION("IMPORTRANGE(""https://docs.google.com/spreadsheets/d/1SX6NBoVAgQJ6U1MVXOaj8PK2l7WJ3RER9xtqwdhxkhw/edit?usp=sharing"",""จันทบุรี!J44"")"),0)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IFERROR(__xludf.DUMMYFUNCTION("IMPORTRANGE(""https://docs.google.com/spreadsheets/d/1SX6NBoVAgQJ6U1MVXOaj8PK2l7WJ3RER9xtqwdhxkhw/edit?usp=sharing"",""จันทบุรี!I45"")"),0)</f>
        <v>0</v>
      </c>
      <c r="J110" s="204">
        <f ca="1">IFERROR(__xludf.DUMMYFUNCTION("IMPORTRANGE(""https://docs.google.com/spreadsheets/d/1SX6NBoVAgQJ6U1MVXOaj8PK2l7WJ3RER9xtqwdhxkhw/edit?usp=sharing"",""จันทบุรี!J45"")"),0)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IFERROR(__xludf.DUMMYFUNCTION("IMPORTRANGE(""https://docs.google.com/spreadsheets/d/1SX6NBoVAgQJ6U1MVXOaj8PK2l7WJ3RER9xtqwdhxkhw/edit?usp=sharing"",""จันทบุรี!I46"")"),0)</f>
        <v>0</v>
      </c>
      <c r="J111" s="204">
        <f ca="1">IFERROR(__xludf.DUMMYFUNCTION("IMPORTRANGE(""https://docs.google.com/spreadsheets/d/1SX6NBoVAgQJ6U1MVXOaj8PK2l7WJ3RER9xtqwdhxkhw/edit?usp=sharing"",""จันทบุรี!J46"")"),0)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IFERROR(__xludf.DUMMYFUNCTION("IMPORTRANGE(""https://docs.google.com/spreadsheets/d/1SX6NBoVAgQJ6U1MVXOaj8PK2l7WJ3RER9xtqwdhxkhw/edit?usp=sharing"",""จันทบุรี!I47"")"),0)</f>
        <v>0</v>
      </c>
      <c r="J112" s="204">
        <f ca="1">IFERROR(__xludf.DUMMYFUNCTION("IMPORTRANGE(""https://docs.google.com/spreadsheets/d/1SX6NBoVAgQJ6U1MVXOaj8PK2l7WJ3RER9xtqwdhxkhw/edit?usp=sharing"",""จันทบุรี!J47"")"),0)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IFERROR(__xludf.DUMMYFUNCTION("IMPORTRANGE(""https://docs.google.com/spreadsheets/d/1SX6NBoVAgQJ6U1MVXOaj8PK2l7WJ3RER9xtqwdhxkhw/edit?usp=sharing"",""จันทบุรี!I48"")"),0)</f>
        <v>0</v>
      </c>
      <c r="J113" s="204">
        <f ca="1">IFERROR(__xludf.DUMMYFUNCTION("IMPORTRANGE(""https://docs.google.com/spreadsheets/d/1SX6NBoVAgQJ6U1MVXOaj8PK2l7WJ3RER9xtqwdhxkhw/edit?usp=sharing"",""จันทบุรี!J48"")"),0)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IFERROR(__xludf.DUMMYFUNCTION("IMPORTRANGE(""https://docs.google.com/spreadsheets/d/1SX6NBoVAgQJ6U1MVXOaj8PK2l7WJ3RER9xtqwdhxkhw/edit?usp=sharing"",""จันทบุรี!J49"")"),0)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IFERROR(__xludf.DUMMYFUNCTION("IMPORTRANGE(""https://docs.google.com/spreadsheets/d/1SX6NBoVAgQJ6U1MVXOaj8PK2l7WJ3RER9xtqwdhxkhw/edit?usp=sharing"",""จันทบุรี!J50"")"),0)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IFERROR(__xludf.DUMMYFUNCTION("IMPORTRANGE(""https://docs.google.com/spreadsheets/d/1SX6NBoVAgQJ6U1MVXOaj8PK2l7WJ3RER9xtqwdhxkhw/edit?usp=sharing"",""จันทบุรี!I52"")"),0)</f>
        <v>0</v>
      </c>
      <c r="J117" s="142">
        <f ca="1">IFERROR(__xludf.DUMMYFUNCTION("IMPORTRANGE(""https://docs.google.com/spreadsheets/d/1SX6NBoVAgQJ6U1MVXOaj8PK2l7WJ3RER9xtqwdhxkhw/edit?usp=sharing"",""จันทบุรี!J52"")"),0)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IFERROR(__xludf.DUMMYFUNCTION("IMPORTRANGE(""https://docs.google.com/spreadsheets/d/1Yj_ptqi66GCucihVvJfMjLAmec39IyEx_6qawtMGysU/edit?usp=sharing"",""สบก!BA60"")"),0)</f>
        <v>0</v>
      </c>
      <c r="N122" s="169">
        <f ca="1">IFERROR(__xludf.DUMMYFUNCTION("IMPORTRANGE(""https://docs.google.com/spreadsheets/d/1Yj_ptqi66GCucihVvJfMjLAmec39IyEx_6qawtMGysU/edit?usp=sharing"",""สบก!BB60"")"),0)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IFERROR(__xludf.DUMMYFUNCTION("IMPORTRANGE(""https://docs.google.com/spreadsheets/d/1Yj_ptqi66GCucihVvJfMjLAmec39IyEx_6qawtMGysU/edit?usp=sharing"",""สบก!AY60"")"),0)</f>
        <v>0</v>
      </c>
      <c r="M126" s="49"/>
      <c r="N126" s="49">
        <f ca="1">IFERROR(__xludf.DUMMYFUNCTION("IMPORTRANGE(""https://docs.google.com/spreadsheets/d/1Yj_ptqi66GCucihVvJfMjLAmec39IyEx_6qawtMGysU/edit?usp=sharing"",""สบก!BC60"")"),0)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IFERROR(__xludf.DUMMYFUNCTION("IMPORTRANGE(""https://docs.google.com/spreadsheets/d/1SX6NBoVAgQJ6U1MVXOaj8PK2l7WJ3RER9xtqwdhxkhw/edit?usp=sharing"",""จันทบุรี!J58"")"),0)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IFERROR(__xludf.DUMMYFUNCTION("IMPORTRANGE(""https://docs.google.com/spreadsheets/d/1SX6NBoVAgQJ6U1MVXOaj8PK2l7WJ3RER9xtqwdhxkhw/edit?usp=sharing"",""จันทบุรี!J59"")"),0)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IFERROR(__xludf.DUMMYFUNCTION("IMPORTRANGE(""https://docs.google.com/spreadsheets/d/1SX6NBoVAgQJ6U1MVXOaj8PK2l7WJ3RER9xtqwdhxkhw/edit?usp=sharing"",""จันทบุรี!J60"")"),0)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IFERROR(__xludf.DUMMYFUNCTION("IMPORTRANGE(""https://docs.google.com/spreadsheets/d/1SX6NBoVAgQJ6U1MVXOaj8PK2l7WJ3RER9xtqwdhxkhw/edit?usp=sharing"",""จันทบุรี!J61"")"),0)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IFERROR(__xludf.DUMMYFUNCTION("IMPORTRANGE(""https://docs.google.com/spreadsheets/d/1SX6NBoVAgQJ6U1MVXOaj8PK2l7WJ3RER9xtqwdhxkhw/edit?usp=sharing"",""จันทบุรี!I62"")"),0)</f>
        <v>0</v>
      </c>
      <c r="J132" s="204">
        <f ca="1">IFERROR(__xludf.DUMMYFUNCTION("IMPORTRANGE(""https://docs.google.com/spreadsheets/d/1SX6NBoVAgQJ6U1MVXOaj8PK2l7WJ3RER9xtqwdhxkhw/edit?usp=sharing"",""จันทบุรี!J62"")"),0)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IFERROR(__xludf.DUMMYFUNCTION("IMPORTRANGE(""https://docs.google.com/spreadsheets/d/1SX6NBoVAgQJ6U1MVXOaj8PK2l7WJ3RER9xtqwdhxkhw/edit?usp=sharing"",""จันทบุรี!I63"")"),0)</f>
        <v>0</v>
      </c>
      <c r="J133" s="204">
        <f ca="1">IFERROR(__xludf.DUMMYFUNCTION("IMPORTRANGE(""https://docs.google.com/spreadsheets/d/1SX6NBoVAgQJ6U1MVXOaj8PK2l7WJ3RER9xtqwdhxkhw/edit?usp=sharing"",""จันทบุรี!J63"")"),0)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IFERROR(__xludf.DUMMYFUNCTION("IMPORTRANGE(""https://docs.google.com/spreadsheets/d/1SX6NBoVAgQJ6U1MVXOaj8PK2l7WJ3RER9xtqwdhxkhw/edit?usp=sharing"",""จันทบุรี!J64"")"),0)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IFERROR(__xludf.DUMMYFUNCTION("IMPORTRANGE(""https://docs.google.com/spreadsheets/d/1SX6NBoVAgQJ6U1MVXOaj8PK2l7WJ3RER9xtqwdhxkhw/edit?usp=sharing"",""จันทบุรี!J65"")"),0)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IFERROR(__xludf.DUMMYFUNCTION("IMPORTRANGE(""https://docs.google.com/spreadsheets/d/1SX6NBoVAgQJ6U1MVXOaj8PK2l7WJ3RER9xtqwdhxkhw/edit?usp=sharing"",""จันทบุรี!I68"")"),20)</f>
        <v>20</v>
      </c>
      <c r="J138" s="268">
        <f ca="1">IFERROR(__xludf.DUMMYFUNCTION("IMPORTRANGE(""https://docs.google.com/spreadsheets/d/1SX6NBoVAgQJ6U1MVXOaj8PK2l7WJ3RER9xtqwdhxkhw/edit?usp=sharing"",""จันทบุรี!J68"")"),20)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255400</v>
      </c>
      <c r="M140" s="152">
        <f t="shared" ca="1" si="64"/>
        <v>255400</v>
      </c>
      <c r="N140" s="152">
        <f t="shared" ca="1" si="64"/>
        <v>149941</v>
      </c>
      <c r="O140" s="151">
        <f t="shared" ref="O140:O142" ca="1" si="65">IF(L140&gt;0,N140*100/L140,0)</f>
        <v>58.708300704776818</v>
      </c>
      <c r="P140" s="151">
        <f t="shared" ref="P140:P142" ca="1" si="66">IF(M140&gt;0,N140*100/M140,0)</f>
        <v>58.708300704776818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255400</v>
      </c>
      <c r="M142" s="157">
        <f t="shared" ca="1" si="68"/>
        <v>255400</v>
      </c>
      <c r="N142" s="157">
        <f t="shared" ca="1" si="68"/>
        <v>149941</v>
      </c>
      <c r="O142" s="156">
        <f t="shared" ca="1" si="65"/>
        <v>58.708300704776818</v>
      </c>
      <c r="P142" s="156">
        <f t="shared" ca="1" si="66"/>
        <v>58.708300704776818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255400</v>
      </c>
      <c r="M144" s="168">
        <f ca="1">IFERROR(__xludf.DUMMYFUNCTION("IMPORTRANGE(""https://docs.google.com/spreadsheets/d/1Yj_ptqi66GCucihVvJfMjLAmec39IyEx_6qawtMGysU/edit?usp=sharing"",""สบก!BJ60"")"),255400)</f>
        <v>255400</v>
      </c>
      <c r="N144" s="169">
        <f ca="1">IFERROR(__xludf.DUMMYFUNCTION("IMPORTRANGE(""https://docs.google.com/spreadsheets/d/1Yj_ptqi66GCucihVvJfMjLAmec39IyEx_6qawtMGysU/edit?usp=sharing"",""สบก!BK60"")"),149941)</f>
        <v>149941</v>
      </c>
      <c r="O144" s="169">
        <f ca="1">IF(L144&gt;0,N144*100/L144,0)</f>
        <v>58.708300704776818</v>
      </c>
      <c r="P144" s="169">
        <f ca="1">IF(M144&gt;0,N144*100/M144,0)</f>
        <v>58.708300704776818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IFERROR(__xludf.DUMMYFUNCTION("IMPORTRANGE(""https://docs.google.com/spreadsheets/d/1Yj_ptqi66GCucihVvJfMjLAmec39IyEx_6qawtMGysU/edit?usp=sharing"",""สบก!BF60"")"),132000)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IFERROR(__xludf.DUMMYFUNCTION("IMPORTRANGE(""https://docs.google.com/spreadsheets/d/1Yj_ptqi66GCucihVvJfMjLAmec39IyEx_6qawtMGysU/edit?usp=sharing"",""สบก!BG60"")"),123400)</f>
        <v>123400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IFERROR(__xludf.DUMMYFUNCTION("IMPORTRANGE(""https://docs.google.com/spreadsheets/d/1Yj_ptqi66GCucihVvJfMjLAmec39IyEx_6qawtMGysU/edit?usp=sharing"",""สบก!BH60"")"),0)</f>
        <v>0</v>
      </c>
      <c r="M148" s="49"/>
      <c r="N148" s="49">
        <f ca="1">IFERROR(__xludf.DUMMYFUNCTION("IMPORTRANGE(""https://docs.google.com/spreadsheets/d/1Yj_ptqi66GCucihVvJfMjLAmec39IyEx_6qawtMGysU/edit?usp=sharing"",""สบก!BL60"")"),0)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IFERROR(__xludf.DUMMYFUNCTION("IMPORTRANGE(""https://docs.google.com/spreadsheets/d/1SX6NBoVAgQJ6U1MVXOaj8PK2l7WJ3RER9xtqwdhxkhw/edit?usp=sharing"",""จันทบุรี!I74"")"),4)</f>
        <v>4</v>
      </c>
      <c r="J149" s="276">
        <f ca="1">IFERROR(__xludf.DUMMYFUNCTION("IMPORTRANGE(""https://docs.google.com/spreadsheets/d/1SX6NBoVAgQJ6U1MVXOaj8PK2l7WJ3RER9xtqwdhxkhw/edit?usp=sharing"",""จันทบุรี!J74"")"),3)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IFERROR(__xludf.DUMMYFUNCTION("IMPORTRANGE(""https://docs.google.com/spreadsheets/d/1SX6NBoVAgQJ6U1MVXOaj8PK2l7WJ3RER9xtqwdhxkhw/edit?usp=sharing"",""จันทบุรี!J79"")"),0)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IFERROR(__xludf.DUMMYFUNCTION("IMPORTRANGE(""https://docs.google.com/spreadsheets/d/1SX6NBoVAgQJ6U1MVXOaj8PK2l7WJ3RER9xtqwdhxkhw/edit?usp=sharing"",""จันทบุรี!J80"")"),1)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IFERROR(__xludf.DUMMYFUNCTION("IMPORTRANGE(""https://docs.google.com/spreadsheets/d/1SX6NBoVAgQJ6U1MVXOaj8PK2l7WJ3RER9xtqwdhxkhw/edit?usp=sharing"",""จันทบุรี!J81"")"),1)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IFERROR(__xludf.DUMMYFUNCTION("IMPORTRANGE(""https://docs.google.com/spreadsheets/d/1SX6NBoVAgQJ6U1MVXOaj8PK2l7WJ3RER9xtqwdhxkhw/edit?usp=sharing"",""จันทบุรี!J82"")"),1)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IFERROR(__xludf.DUMMYFUNCTION("IMPORTRANGE(""https://docs.google.com/spreadsheets/d/1SX6NBoVAgQJ6U1MVXOaj8PK2l7WJ3RER9xtqwdhxkhw/edit?usp=sharing"",""จันทบุรี!I83"")"),4)</f>
        <v>4</v>
      </c>
      <c r="J158" s="189">
        <f ca="1">IFERROR(__xludf.DUMMYFUNCTION("IMPORTRANGE(""https://docs.google.com/spreadsheets/d/1SX6NBoVAgQJ6U1MVXOaj8PK2l7WJ3RER9xtqwdhxkhw/edit?usp=sharing"",""จันทบุรี!J83"")"),3)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IFERROR(__xludf.DUMMYFUNCTION("IMPORTRANGE(""https://docs.google.com/spreadsheets/d/1SX6NBoVAgQJ6U1MVXOaj8PK2l7WJ3RER9xtqwdhxkhw/edit?usp=sharing"",""จันทบุรี!J84"")"),176)</f>
        <v>176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IFERROR(__xludf.DUMMYFUNCTION("IMPORTRANGE(""https://docs.google.com/spreadsheets/d/1SX6NBoVAgQJ6U1MVXOaj8PK2l7WJ3RER9xtqwdhxkhw/edit?usp=sharing"",""จันทบุรี!J85"")"),176)</f>
        <v>176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IFERROR(__xludf.DUMMYFUNCTION("IMPORTRANGE(""https://docs.google.com/spreadsheets/d/1SX6NBoVAgQJ6U1MVXOaj8PK2l7WJ3RER9xtqwdhxkhw/edit?usp=sharing"",""จันทบุรี!J86"")"),0)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IFERROR(__xludf.DUMMYFUNCTION("IMPORTRANGE(""https://docs.google.com/spreadsheets/d/1SX6NBoVAgQJ6U1MVXOaj8PK2l7WJ3RER9xtqwdhxkhw/edit?usp=sharing"",""จันทบุรี!J87"")"),0)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IFERROR(__xludf.DUMMYFUNCTION("IMPORTRANGE(""https://docs.google.com/spreadsheets/d/1SX6NBoVAgQJ6U1MVXOaj8PK2l7WJ3RER9xtqwdhxkhw/edit?usp=sharing"",""จันทบุรี!J88"")"),0)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IFERROR(__xludf.DUMMYFUNCTION("IMPORTRANGE(""https://docs.google.com/spreadsheets/d/1SX6NBoVAgQJ6U1MVXOaj8PK2l7WJ3RER9xtqwdhxkhw/edit?usp=sharing"",""จันทบุรี!I89"")"),2)</f>
        <v>2</v>
      </c>
      <c r="J164" s="285">
        <f ca="1">IFERROR(__xludf.DUMMYFUNCTION("IMPORTRANGE(""https://docs.google.com/spreadsheets/d/1SX6NBoVAgQJ6U1MVXOaj8PK2l7WJ3RER9xtqwdhxkhw/edit?usp=sharing"",""จันทบุรี!J89"")"),2)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IFERROR(__xludf.DUMMYFUNCTION("IMPORTRANGE(""https://docs.google.com/spreadsheets/d/1SX6NBoVAgQJ6U1MVXOaj8PK2l7WJ3RER9xtqwdhxkhw/edit?usp=sharing"",""จันทบุรี!J94"")"),0)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IFERROR(__xludf.DUMMYFUNCTION("IMPORTRANGE(""https://docs.google.com/spreadsheets/d/1SX6NBoVAgQJ6U1MVXOaj8PK2l7WJ3RER9xtqwdhxkhw/edit?usp=sharing"",""จันทบุรี!J95"")"),1)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IFERROR(__xludf.DUMMYFUNCTION("IMPORTRANGE(""https://docs.google.com/spreadsheets/d/1SX6NBoVAgQJ6U1MVXOaj8PK2l7WJ3RER9xtqwdhxkhw/edit?usp=sharing"",""จันทบุรี!J96"")"),1)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IFERROR(__xludf.DUMMYFUNCTION("IMPORTRANGE(""https://docs.google.com/spreadsheets/d/1SX6NBoVAgQJ6U1MVXOaj8PK2l7WJ3RER9xtqwdhxkhw/edit?usp=sharing"",""จันทบุรี!J97"")"),1)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IFERROR(__xludf.DUMMYFUNCTION("IMPORTRANGE(""https://docs.google.com/spreadsheets/d/1SX6NBoVAgQJ6U1MVXOaj8PK2l7WJ3RER9xtqwdhxkhw/edit?usp=sharing"",""จันทบุรี!I98"")"),2)</f>
        <v>2</v>
      </c>
      <c r="J173" s="189">
        <f ca="1">IFERROR(__xludf.DUMMYFUNCTION("IMPORTRANGE(""https://docs.google.com/spreadsheets/d/1SX6NBoVAgQJ6U1MVXOaj8PK2l7WJ3RER9xtqwdhxkhw/edit?usp=sharing"",""จันทบุรี!J98"")"),2)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IFERROR(__xludf.DUMMYFUNCTION("IMPORTRANGE(""https://docs.google.com/spreadsheets/d/1SX6NBoVAgQJ6U1MVXOaj8PK2l7WJ3RER9xtqwdhxkhw/edit?usp=sharing"",""จันทบุรี!J99"")"),0)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IFERROR(__xludf.DUMMYFUNCTION("IMPORTRANGE(""https://docs.google.com/spreadsheets/d/1SX6NBoVAgQJ6U1MVXOaj8PK2l7WJ3RER9xtqwdhxkhw/edit?usp=sharing"",""จันทบุรี!J100"")"),0)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IFERROR(__xludf.DUMMYFUNCTION("IMPORTRANGE(""https://docs.google.com/spreadsheets/d/1SX6NBoVAgQJ6U1MVXOaj8PK2l7WJ3RER9xtqwdhxkhw/edit?usp=sharing"",""จันทบุรี!I101"")"),1)</f>
        <v>1</v>
      </c>
      <c r="J176" s="285">
        <f ca="1">IFERROR(__xludf.DUMMYFUNCTION("IMPORTRANGE(""https://docs.google.com/spreadsheets/d/1SX6NBoVAgQJ6U1MVXOaj8PK2l7WJ3RER9xtqwdhxkhw/edit?usp=sharing"",""จันทบุรี!J101"")"),1)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IFERROR(__xludf.DUMMYFUNCTION("IMPORTRANGE(""https://docs.google.com/spreadsheets/d/1SX6NBoVAgQJ6U1MVXOaj8PK2l7WJ3RER9xtqwdhxkhw/edit?usp=sharing"",""จันทบุรี!J106"")"),0)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IFERROR(__xludf.DUMMYFUNCTION("IMPORTRANGE(""https://docs.google.com/spreadsheets/d/1SX6NBoVAgQJ6U1MVXOaj8PK2l7WJ3RER9xtqwdhxkhw/edit?usp=sharing"",""จันทบุรี!J107"")"),1)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IFERROR(__xludf.DUMMYFUNCTION("IMPORTRANGE(""https://docs.google.com/spreadsheets/d/1SX6NBoVAgQJ6U1MVXOaj8PK2l7WJ3RER9xtqwdhxkhw/edit?usp=sharing"",""จันทบุรี!J108"")"),1)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IFERROR(__xludf.DUMMYFUNCTION("IMPORTRANGE(""https://docs.google.com/spreadsheets/d/1SX6NBoVAgQJ6U1MVXOaj8PK2l7WJ3RER9xtqwdhxkhw/edit?usp=sharing"",""จันทบุรี!J109"")"),1)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IFERROR(__xludf.DUMMYFUNCTION("IMPORTRANGE(""https://docs.google.com/spreadsheets/d/1SX6NBoVAgQJ6U1MVXOaj8PK2l7WJ3RER9xtqwdhxkhw/edit?usp=sharing"",""จันทบุรี!I110"")"),1)</f>
        <v>1</v>
      </c>
      <c r="J185" s="204">
        <f ca="1">IFERROR(__xludf.DUMMYFUNCTION("IMPORTRANGE(""https://docs.google.com/spreadsheets/d/1SX6NBoVAgQJ6U1MVXOaj8PK2l7WJ3RER9xtqwdhxkhw/edit?usp=sharing"",""จันทบุรี!J110"")"),1)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IFERROR(__xludf.DUMMYFUNCTION("IMPORTRANGE(""https://docs.google.com/spreadsheets/d/1SX6NBoVAgQJ6U1MVXOaj8PK2l7WJ3RER9xtqwdhxkhw/edit?usp=sharing"",""จันทบุรี!I111"")"),1)</f>
        <v>1</v>
      </c>
      <c r="J186" s="204">
        <f ca="1">IFERROR(__xludf.DUMMYFUNCTION("IMPORTRANGE(""https://docs.google.com/spreadsheets/d/1SX6NBoVAgQJ6U1MVXOaj8PK2l7WJ3RER9xtqwdhxkhw/edit?usp=sharing"",""จันทบุรี!J111"")"),1)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IFERROR(__xludf.DUMMYFUNCTION("IMPORTRANGE(""https://docs.google.com/spreadsheets/d/1SX6NBoVAgQJ6U1MVXOaj8PK2l7WJ3RER9xtqwdhxkhw/edit?usp=sharing"",""จันทบุรี!J112"")"),0)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IFERROR(__xludf.DUMMYFUNCTION("IMPORTRANGE(""https://docs.google.com/spreadsheets/d/1SX6NBoVAgQJ6U1MVXOaj8PK2l7WJ3RER9xtqwdhxkhw/edit?usp=sharing"",""จันทบุรี!J113"")"),0)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IFERROR(__xludf.DUMMYFUNCTION("IMPORTRANGE(""https://docs.google.com/spreadsheets/d/1SX6NBoVAgQJ6U1MVXOaj8PK2l7WJ3RER9xtqwdhxkhw/edit?usp=sharing"",""จันทบุรี!I114"")"),12800)</f>
        <v>12800</v>
      </c>
      <c r="J189" s="285">
        <f ca="1">IFERROR(__xludf.DUMMYFUNCTION("IMPORTRANGE(""https://docs.google.com/spreadsheets/d/1SX6NBoVAgQJ6U1MVXOaj8PK2l7WJ3RER9xtqwdhxkhw/edit?usp=sharing"",""จันทบุรี!J114"")"),12800)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IFERROR(__xludf.DUMMYFUNCTION("IMPORTRANGE(""https://docs.google.com/spreadsheets/d/1SX6NBoVAgQJ6U1MVXOaj8PK2l7WJ3RER9xtqwdhxkhw/edit?usp=sharing"",""จันทบุรี!J119"")"),0)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IFERROR(__xludf.DUMMYFUNCTION("IMPORTRANGE(""https://docs.google.com/spreadsheets/d/1SX6NBoVAgQJ6U1MVXOaj8PK2l7WJ3RER9xtqwdhxkhw/edit?usp=sharing"",""จันทบุรี!J120"")"),1)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IFERROR(__xludf.DUMMYFUNCTION("IMPORTRANGE(""https://docs.google.com/spreadsheets/d/1SX6NBoVAgQJ6U1MVXOaj8PK2l7WJ3RER9xtqwdhxkhw/edit?usp=sharing"",""จันทบุรี!J121"")"),1)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IFERROR(__xludf.DUMMYFUNCTION("IMPORTRANGE(""https://docs.google.com/spreadsheets/d/1SX6NBoVAgQJ6U1MVXOaj8PK2l7WJ3RER9xtqwdhxkhw/edit?usp=sharing"",""จันทบุรี!J122"")"),1)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IFERROR(__xludf.DUMMYFUNCTION("IMPORTRANGE(""https://docs.google.com/spreadsheets/d/1SX6NBoVAgQJ6U1MVXOaj8PK2l7WJ3RER9xtqwdhxkhw/edit?usp=sharing"",""จันทบุรี!I124"")"),12800)</f>
        <v>12800</v>
      </c>
      <c r="J199" s="189">
        <f ca="1">IFERROR(__xludf.DUMMYFUNCTION("IMPORTRANGE(""https://docs.google.com/spreadsheets/d/1SX6NBoVAgQJ6U1MVXOaj8PK2l7WJ3RER9xtqwdhxkhw/edit?usp=sharing"",""จันทบุรี!J124"")"),12800)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IFERROR(__xludf.DUMMYFUNCTION("IMPORTRANGE(""https://docs.google.com/spreadsheets/d/1SX6NBoVAgQJ6U1MVXOaj8PK2l7WJ3RER9xtqwdhxkhw/edit?usp=sharing"",""จันทบุรี!I125"")"),12800)</f>
        <v>12800</v>
      </c>
      <c r="J200" s="189">
        <f ca="1">IFERROR(__xludf.DUMMYFUNCTION("IMPORTRANGE(""https://docs.google.com/spreadsheets/d/1SX6NBoVAgQJ6U1MVXOaj8PK2l7WJ3RER9xtqwdhxkhw/edit?usp=sharing"",""จันทบุรี!J125"")"),12800)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IFERROR(__xludf.DUMMYFUNCTION("IMPORTRANGE(""https://docs.google.com/spreadsheets/d/1SX6NBoVAgQJ6U1MVXOaj8PK2l7WJ3RER9xtqwdhxkhw/edit?usp=sharing"",""จันทบุรี!I126"")"),0)</f>
        <v>0</v>
      </c>
      <c r="J201" s="189">
        <f ca="1">IFERROR(__xludf.DUMMYFUNCTION("IMPORTRANGE(""https://docs.google.com/spreadsheets/d/1SX6NBoVAgQJ6U1MVXOaj8PK2l7WJ3RER9xtqwdhxkhw/edit?usp=sharing"",""จันทบุรี!J126"")"),0)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IFERROR(__xludf.DUMMYFUNCTION("IMPORTRANGE(""https://docs.google.com/spreadsheets/d/1SX6NBoVAgQJ6U1MVXOaj8PK2l7WJ3RER9xtqwdhxkhw/edit?usp=sharing"",""จันทบุรี!J127"")"),0)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IFERROR(__xludf.DUMMYFUNCTION("IMPORTRANGE(""https://docs.google.com/spreadsheets/d/1SX6NBoVAgQJ6U1MVXOaj8PK2l7WJ3RER9xtqwdhxkhw/edit?usp=sharing"",""จันทบุรี!J128"")"),0)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IFERROR(__xludf.DUMMYFUNCTION("IMPORTRANGE(""https://docs.google.com/spreadsheets/d/1SX6NBoVAgQJ6U1MVXOaj8PK2l7WJ3RER9xtqwdhxkhw/edit?usp=sharing"",""จันทบุรี!I129"")"),20)</f>
        <v>20</v>
      </c>
      <c r="J204" s="285">
        <f ca="1">IFERROR(__xludf.DUMMYFUNCTION("IMPORTRANGE(""https://docs.google.com/spreadsheets/d/1SX6NBoVAgQJ6U1MVXOaj8PK2l7WJ3RER9xtqwdhxkhw/edit?usp=sharing"",""จันทบุรี!J129"")"),20)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IFERROR(__xludf.DUMMYFUNCTION("IMPORTRANGE(""https://docs.google.com/spreadsheets/d/1SX6NBoVAgQJ6U1MVXOaj8PK2l7WJ3RER9xtqwdhxkhw/edit?usp=sharing"",""จันทบุรี!J134"")"),0)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IFERROR(__xludf.DUMMYFUNCTION("IMPORTRANGE(""https://docs.google.com/spreadsheets/d/1SX6NBoVAgQJ6U1MVXOaj8PK2l7WJ3RER9xtqwdhxkhw/edit?usp=sharing"",""จันทบุรี!J135"")"),1)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IFERROR(__xludf.DUMMYFUNCTION("IMPORTRANGE(""https://docs.google.com/spreadsheets/d/1SX6NBoVAgQJ6U1MVXOaj8PK2l7WJ3RER9xtqwdhxkhw/edit?usp=sharing"",""จันทบุรี!J136"")"),1)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IFERROR(__xludf.DUMMYFUNCTION("IMPORTRANGE(""https://docs.google.com/spreadsheets/d/1SX6NBoVAgQJ6U1MVXOaj8PK2l7WJ3RER9xtqwdhxkhw/edit?usp=sharing"",""จันทบุรี!J137"")"),1)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IFERROR(__xludf.DUMMYFUNCTION("IMPORTRANGE(""https://docs.google.com/spreadsheets/d/1SX6NBoVAgQJ6U1MVXOaj8PK2l7WJ3RER9xtqwdhxkhw/edit?usp=sharing"",""จันทบุรี!I138"")"),20)</f>
        <v>20</v>
      </c>
      <c r="J213" s="204">
        <f ca="1">IFERROR(__xludf.DUMMYFUNCTION("IMPORTRANGE(""https://docs.google.com/spreadsheets/d/1SX6NBoVAgQJ6U1MVXOaj8PK2l7WJ3RER9xtqwdhxkhw/edit?usp=sharing"",""จันทบุรี!J138"")"),20)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IFERROR(__xludf.DUMMYFUNCTION("IMPORTRANGE(""https://docs.google.com/spreadsheets/d/1SX6NBoVAgQJ6U1MVXOaj8PK2l7WJ3RER9xtqwdhxkhw/edit?usp=sharing"",""จันทบุรี!I140"")"),0)</f>
        <v>0</v>
      </c>
      <c r="J215" s="204">
        <f ca="1">IFERROR(__xludf.DUMMYFUNCTION("IMPORTRANGE(""https://docs.google.com/spreadsheets/d/1SX6NBoVAgQJ6U1MVXOaj8PK2l7WJ3RER9xtqwdhxkhw/edit?usp=sharing"",""จันทบุรี!J140"")"),0)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IFERROR(__xludf.DUMMYFUNCTION("IMPORTRANGE(""https://docs.google.com/spreadsheets/d/1SX6NBoVAgQJ6U1MVXOaj8PK2l7WJ3RER9xtqwdhxkhw/edit?usp=sharing"",""จันทบุรี!I141"")"),0)</f>
        <v>0</v>
      </c>
      <c r="J216" s="204">
        <f ca="1">IFERROR(__xludf.DUMMYFUNCTION("IMPORTRANGE(""https://docs.google.com/spreadsheets/d/1SX6NBoVAgQJ6U1MVXOaj8PK2l7WJ3RER9xtqwdhxkhw/edit?usp=sharing"",""จันทบุรี!J141"")"),0)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IFERROR(__xludf.DUMMYFUNCTION("IMPORTRANGE(""https://docs.google.com/spreadsheets/d/1SX6NBoVAgQJ6U1MVXOaj8PK2l7WJ3RER9xtqwdhxkhw/edit?usp=sharing"",""จันทบุรี!J142"")"),0)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IFERROR(__xludf.DUMMYFUNCTION("IMPORTRANGE(""https://docs.google.com/spreadsheets/d/1SX6NBoVAgQJ6U1MVXOaj8PK2l7WJ3RER9xtqwdhxkhw/edit?usp=sharing"",""จันทบุรี!J143"")"),0)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IFERROR(__xludf.DUMMYFUNCTION("IMPORTRANGE(""https://docs.google.com/spreadsheets/d/1SX6NBoVAgQJ6U1MVXOaj8PK2l7WJ3RER9xtqwdhxkhw/edit?usp=sharing"",""จันทบุรี!I144"")"),13)</f>
        <v>13</v>
      </c>
      <c r="J219" s="268">
        <f ca="1">IFERROR(__xludf.DUMMYFUNCTION("IMPORTRANGE(""https://docs.google.com/spreadsheets/d/1SX6NBoVAgQJ6U1MVXOaj8PK2l7WJ3RER9xtqwdhxkhw/edit?usp=sharing"",""จันทบุรี!J144"")"),13)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IFERROR(__xludf.DUMMYFUNCTION("IMPORTRANGE(""https://docs.google.com/spreadsheets/d/1Yj_ptqi66GCucihVvJfMjLAmec39IyEx_6qawtMGysU/edit?usp=sharing"",""สบก!BS60"")"),19295)</f>
        <v>19295</v>
      </c>
      <c r="N224" s="169">
        <f ca="1">IFERROR(__xludf.DUMMYFUNCTION("IMPORTRANGE(""https://docs.google.com/spreadsheets/d/1Yj_ptqi66GCucihVvJfMjLAmec39IyEx_6qawtMGysU/edit?usp=sharing"",""สบก!BT60"")"),19295)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IFERROR(__xludf.DUMMYFUNCTION("IMPORTRANGE(""https://docs.google.com/spreadsheets/d/1Yj_ptqi66GCucihVvJfMjLAmec39IyEx_6qawtMGysU/edit?usp=sharing"",""สบก!BP60"")"),19295)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IFERROR(__xludf.DUMMYFUNCTION("IMPORTRANGE(""https://docs.google.com/spreadsheets/d/1Yj_ptqi66GCucihVvJfMjLAmec39IyEx_6qawtMGysU/edit?usp=sharing"",""สบก!BQ60"")"),0)</f>
        <v>0</v>
      </c>
      <c r="M228" s="49"/>
      <c r="N228" s="49">
        <f ca="1">IFERROR(__xludf.DUMMYFUNCTION("IMPORTRANGE(""https://docs.google.com/spreadsheets/d/1Yj_ptqi66GCucihVvJfMjLAmec39IyEx_6qawtMGysU/edit?usp=sharing"",""สบก!BU60"")"),0)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IFERROR(__xludf.DUMMYFUNCTION("IMPORTRANGE(""https://docs.google.com/spreadsheets/d/1SX6NBoVAgQJ6U1MVXOaj8PK2l7WJ3RER9xtqwdhxkhw/edit?usp=sharing"",""จันทบุรี!I149"")"),13)</f>
        <v>13</v>
      </c>
      <c r="J229" s="268">
        <f ca="1">IFERROR(__xludf.DUMMYFUNCTION("IMPORTRANGE(""https://docs.google.com/spreadsheets/d/1SX6NBoVAgQJ6U1MVXOaj8PK2l7WJ3RER9xtqwdhxkhw/edit?usp=sharing"",""จันทบุรี!J149"")"),13)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IFERROR(__xludf.DUMMYFUNCTION("IMPORTRANGE(""https://docs.google.com/spreadsheets/d/1SX6NBoVAgQJ6U1MVXOaj8PK2l7WJ3RER9xtqwdhxkhw/edit?usp=sharing"",""จันทบุรี!J151"")"),0)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IFERROR(__xludf.DUMMYFUNCTION("IMPORTRANGE(""https://docs.google.com/spreadsheets/d/1SX6NBoVAgQJ6U1MVXOaj8PK2l7WJ3RER9xtqwdhxkhw/edit?usp=sharing"",""จันทบุรี!J152"")"),1)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IFERROR(__xludf.DUMMYFUNCTION("IMPORTRANGE(""https://docs.google.com/spreadsheets/d/1SX6NBoVAgQJ6U1MVXOaj8PK2l7WJ3RER9xtqwdhxkhw/edit?usp=sharing"",""จันทบุรี!J153"")"),1)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IFERROR(__xludf.DUMMYFUNCTION("IMPORTRANGE(""https://docs.google.com/spreadsheets/d/1SX6NBoVAgQJ6U1MVXOaj8PK2l7WJ3RER9xtqwdhxkhw/edit?usp=sharing"",""จันทบุรี!J154"")"),1)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IFERROR(__xludf.DUMMYFUNCTION("IMPORTRANGE(""https://docs.google.com/spreadsheets/d/1SX6NBoVAgQJ6U1MVXOaj8PK2l7WJ3RER9xtqwdhxkhw/edit?usp=sharing"",""จันทบุรี!I155"")"),13)</f>
        <v>13</v>
      </c>
      <c r="J235" s="189">
        <f ca="1">IFERROR(__xludf.DUMMYFUNCTION("IMPORTRANGE(""https://docs.google.com/spreadsheets/d/1SX6NBoVAgQJ6U1MVXOaj8PK2l7WJ3RER9xtqwdhxkhw/edit?usp=sharing"",""จันทบุรี!J155"")"),13)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IFERROR(__xludf.DUMMYFUNCTION("IMPORTRANGE(""https://docs.google.com/spreadsheets/d/1SX6NBoVAgQJ6U1MVXOaj8PK2l7WJ3RER9xtqwdhxkhw/edit?usp=sharing"",""จันทบุรี!J156"")"),0)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IFERROR(__xludf.DUMMYFUNCTION("IMPORTRANGE(""https://docs.google.com/spreadsheets/d/1SX6NBoVAgQJ6U1MVXOaj8PK2l7WJ3RER9xtqwdhxkhw/edit?usp=sharing"",""จันทบุรี!J157"")"),0)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IFERROR(__xludf.DUMMYFUNCTION("IMPORTRANGE(""https://docs.google.com/spreadsheets/d/1SX6NBoVAgQJ6U1MVXOaj8PK2l7WJ3RER9xtqwdhxkhw/edit?usp=sharing"",""จันทบุรี!I158"")"),0)</f>
        <v>0</v>
      </c>
      <c r="J238" s="268">
        <f ca="1">IFERROR(__xludf.DUMMYFUNCTION("IMPORTRANGE(""https://docs.google.com/spreadsheets/d/1SX6NBoVAgQJ6U1MVXOaj8PK2l7WJ3RER9xtqwdhxkhw/edit?usp=sharing"",""จันทบุรี!J158"")"),0)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IFERROR(__xludf.DUMMYFUNCTION("IMPORTRANGE(""https://docs.google.com/spreadsheets/d/1SX6NBoVAgQJ6U1MVXOaj8PK2l7WJ3RER9xtqwdhxkhw/edit?usp=sharing"",""จันทบุรี!J159"")"),"")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IFERROR(__xludf.DUMMYFUNCTION("IMPORTRANGE(""https://docs.google.com/spreadsheets/d/1SX6NBoVAgQJ6U1MVXOaj8PK2l7WJ3RER9xtqwdhxkhw/edit?usp=sharing"",""จันทบุรี!J161"")"),0)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IFERROR(__xludf.DUMMYFUNCTION("IMPORTRANGE(""https://docs.google.com/spreadsheets/d/1SX6NBoVAgQJ6U1MVXOaj8PK2l7WJ3RER9xtqwdhxkhw/edit?usp=sharing"",""จันทบุรี!J162"")"),0)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IFERROR(__xludf.DUMMYFUNCTION("IMPORTRANGE(""https://docs.google.com/spreadsheets/d/1SX6NBoVAgQJ6U1MVXOaj8PK2l7WJ3RER9xtqwdhxkhw/edit?usp=sharing"",""จันทบุรี!J163"")"),0)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IFERROR(__xludf.DUMMYFUNCTION("IMPORTRANGE(""https://docs.google.com/spreadsheets/d/1SX6NBoVAgQJ6U1MVXOaj8PK2l7WJ3RER9xtqwdhxkhw/edit?usp=sharing"",""จันทบุรี!I164"")"),0)</f>
        <v>0</v>
      </c>
      <c r="J244" s="188">
        <f ca="1">IFERROR(__xludf.DUMMYFUNCTION("IMPORTRANGE(""https://docs.google.com/spreadsheets/d/1SX6NBoVAgQJ6U1MVXOaj8PK2l7WJ3RER9xtqwdhxkhw/edit?usp=sharing"",""จันทบุรี!J164"")"),0)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IFERROR(__xludf.DUMMYFUNCTION("IMPORTRANGE(""https://docs.google.com/spreadsheets/d/1SX6NBoVAgQJ6U1MVXOaj8PK2l7WJ3RER9xtqwdhxkhw/edit?usp=sharing"",""จันทบุรี!J165"")"),0)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IFERROR(__xludf.DUMMYFUNCTION("IMPORTRANGE(""https://docs.google.com/spreadsheets/d/1SX6NBoVAgQJ6U1MVXOaj8PK2l7WJ3RER9xtqwdhxkhw/edit?usp=sharing"",""จันทบุรี!J166"")"),0)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IFERROR(__xludf.DUMMYFUNCTION("IMPORTRANGE(""https://docs.google.com/spreadsheets/d/1SX6NBoVAgQJ6U1MVXOaj8PK2l7WJ3RER9xtqwdhxkhw/edit?usp=sharing"",""จันทบุรี!I169"")"),25)</f>
        <v>25</v>
      </c>
      <c r="J249" s="317">
        <f ca="1">IFERROR(__xludf.DUMMYFUNCTION("IMPORTRANGE(""https://docs.google.com/spreadsheets/d/1SX6NBoVAgQJ6U1MVXOaj8PK2l7WJ3RER9xtqwdhxkhw/edit?usp=sharing"",""จันทบุรี!J169"")"),25)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144640</v>
      </c>
      <c r="O250" s="151">
        <f t="shared" ref="O250:O252" ca="1" si="78">IF(L250&gt;0,N250*100/L250,0)</f>
        <v>72.683417085427138</v>
      </c>
      <c r="P250" s="151">
        <f t="shared" ref="P250:P252" ca="1" si="79">IF(M250&gt;0,N250*100/M250,0)</f>
        <v>72.683417085427138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199000</v>
      </c>
      <c r="M252" s="157">
        <f t="shared" ca="1" si="81"/>
        <v>199000</v>
      </c>
      <c r="N252" s="157">
        <f t="shared" ca="1" si="81"/>
        <v>144640</v>
      </c>
      <c r="O252" s="156">
        <f t="shared" ca="1" si="78"/>
        <v>72.683417085427138</v>
      </c>
      <c r="P252" s="156">
        <f t="shared" ca="1" si="79"/>
        <v>72.683417085427138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199000</v>
      </c>
      <c r="M254" s="168">
        <f ca="1">IFERROR(__xludf.DUMMYFUNCTION("IMPORTRANGE(""https://docs.google.com/spreadsheets/d/1Yj_ptqi66GCucihVvJfMjLAmec39IyEx_6qawtMGysU/edit?usp=sharing"",""สบก!CB60"")"),199000)</f>
        <v>199000</v>
      </c>
      <c r="N254" s="169">
        <f ca="1">IFERROR(__xludf.DUMMYFUNCTION("IMPORTRANGE(""https://docs.google.com/spreadsheets/d/1Yj_ptqi66GCucihVvJfMjLAmec39IyEx_6qawtMGysU/edit?usp=sharing"",""สบก!CC60"")"),144640)</f>
        <v>144640</v>
      </c>
      <c r="O254" s="169">
        <f ca="1">IF(L254&gt;0,N254*100/L254,0)</f>
        <v>72.683417085427138</v>
      </c>
      <c r="P254" s="169">
        <f ca="1">IF(M254&gt;0,N254*100/M254,0)</f>
        <v>72.683417085427138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IFERROR(__xludf.DUMMYFUNCTION("IMPORTRANGE(""https://docs.google.com/spreadsheets/d/1Yj_ptqi66GCucihVvJfMjLAmec39IyEx_6qawtMGysU/edit?usp=sharing"",""สบก!BY60"")"),199000)</f>
        <v>199000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IFERROR(__xludf.DUMMYFUNCTION("IMPORTRANGE(""https://docs.google.com/spreadsheets/d/1Yj_ptqi66GCucihVvJfMjLAmec39IyEx_6qawtMGysU/edit?usp=sharing"",""สบก!BZ60"")"),0)</f>
        <v>0</v>
      </c>
      <c r="M258" s="49"/>
      <c r="N258" s="49">
        <f ca="1">IFERROR(__xludf.DUMMYFUNCTION("IMPORTRANGE(""https://docs.google.com/spreadsheets/d/1Yj_ptqi66GCucihVvJfMjLAmec39IyEx_6qawtMGysU/edit?usp=sharing"",""สบก!CD60"")"),0)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IFERROR(__xludf.DUMMYFUNCTION("IMPORTRANGE(""https://docs.google.com/spreadsheets/d/1SX6NBoVAgQJ6U1MVXOaj8PK2l7WJ3RER9xtqwdhxkhw/edit?usp=sharing"",""จันทบุรี!J175"")"),0)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IFERROR(__xludf.DUMMYFUNCTION("IMPORTRANGE(""https://docs.google.com/spreadsheets/d/1SX6NBoVAgQJ6U1MVXOaj8PK2l7WJ3RER9xtqwdhxkhw/edit?usp=sharing"",""จันทบุรี!J176"")"),1)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IFERROR(__xludf.DUMMYFUNCTION("IMPORTRANGE(""https://docs.google.com/spreadsheets/d/1SX6NBoVAgQJ6U1MVXOaj8PK2l7WJ3RER9xtqwdhxkhw/edit?usp=sharing"",""จันทบุรี!J177"")"),1)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IFERROR(__xludf.DUMMYFUNCTION("IMPORTRANGE(""https://docs.google.com/spreadsheets/d/1SX6NBoVAgQJ6U1MVXOaj8PK2l7WJ3RER9xtqwdhxkhw/edit?usp=sharing"",""จันทบุรี!J178"")"),1)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IFERROR(__xludf.DUMMYFUNCTION("IMPORTRANGE(""https://docs.google.com/spreadsheets/d/1SX6NBoVAgQJ6U1MVXOaj8PK2l7WJ3RER9xtqwdhxkhw/edit?usp=sharing"",""จันทบุรี!I179"")"),1)</f>
        <v>1</v>
      </c>
      <c r="J264" s="189">
        <f ca="1">IFERROR(__xludf.DUMMYFUNCTION("IMPORTRANGE(""https://docs.google.com/spreadsheets/d/1SX6NBoVAgQJ6U1MVXOaj8PK2l7WJ3RER9xtqwdhxkhw/edit?usp=sharing"",""จันทบุรี!J179"")"),1)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IFERROR(__xludf.DUMMYFUNCTION("IMPORTRANGE(""https://docs.google.com/spreadsheets/d/1SX6NBoVAgQJ6U1MVXOaj8PK2l7WJ3RER9xtqwdhxkhw/edit?usp=sharing"",""จันทบุรี!I180"")"),25)</f>
        <v>25</v>
      </c>
      <c r="J265" s="189">
        <f ca="1">IFERROR(__xludf.DUMMYFUNCTION("IMPORTRANGE(""https://docs.google.com/spreadsheets/d/1SX6NBoVAgQJ6U1MVXOaj8PK2l7WJ3RER9xtqwdhxkhw/edit?usp=sharing"",""จันทบุรี!J180"")"),25)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IFERROR(__xludf.DUMMYFUNCTION("IMPORTRANGE(""https://docs.google.com/spreadsheets/d/1SX6NBoVAgQJ6U1MVXOaj8PK2l7WJ3RER9xtqwdhxkhw/edit?usp=sharing"",""จันทบุรี!I181"")"),25)</f>
        <v>25</v>
      </c>
      <c r="J266" s="189">
        <f ca="1">IFERROR(__xludf.DUMMYFUNCTION("IMPORTRANGE(""https://docs.google.com/spreadsheets/d/1SX6NBoVAgQJ6U1MVXOaj8PK2l7WJ3RER9xtqwdhxkhw/edit?usp=sharing"",""จันทบุรี!J181"")"),0)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IFERROR(__xludf.DUMMYFUNCTION("IMPORTRANGE(""https://docs.google.com/spreadsheets/d/1SX6NBoVAgQJ6U1MVXOaj8PK2l7WJ3RER9xtqwdhxkhw/edit?usp=sharing"",""จันทบุรี!I182"")"),1)</f>
        <v>1</v>
      </c>
      <c r="J267" s="189">
        <f ca="1">IFERROR(__xludf.DUMMYFUNCTION("IMPORTRANGE(""https://docs.google.com/spreadsheets/d/1SX6NBoVAgQJ6U1MVXOaj8PK2l7WJ3RER9xtqwdhxkhw/edit?usp=sharing"",""จันทบุรี!J182"")"),1)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IFERROR(__xludf.DUMMYFUNCTION("IMPORTRANGE(""https://docs.google.com/spreadsheets/d/1SX6NBoVAgQJ6U1MVXOaj8PK2l7WJ3RER9xtqwdhxkhw/edit?usp=sharing"",""จันทบุรี!J183"")"),0)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IFERROR(__xludf.DUMMYFUNCTION("IMPORTRANGE(""https://docs.google.com/spreadsheets/d/1SX6NBoVAgQJ6U1MVXOaj8PK2l7WJ3RER9xtqwdhxkhw/edit?usp=sharing"",""จันทบุรี!J184"")"),0)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IFERROR(__xludf.DUMMYFUNCTION("IMPORTRANGE(""https://docs.google.com/spreadsheets/d/1SX6NBoVAgQJ6U1MVXOaj8PK2l7WJ3RER9xtqwdhxkhw/edit?usp=sharing"",""จันทบุรี!I185"")"),15)</f>
        <v>15</v>
      </c>
      <c r="J270" s="317">
        <f ca="1">IFERROR(__xludf.DUMMYFUNCTION("IMPORTRANGE(""https://docs.google.com/spreadsheets/d/1SX6NBoVAgQJ6U1MVXOaj8PK2l7WJ3RER9xtqwdhxkhw/edit?usp=sharing"",""จันทบุรี!J185"")"),15)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29290</v>
      </c>
      <c r="O271" s="151">
        <f t="shared" ref="O271:O273" ca="1" si="84">IF(L271&gt;0,N271*100/L271,0)</f>
        <v>53.061594202898547</v>
      </c>
      <c r="P271" s="151">
        <f t="shared" ref="P271:P273" ca="1" si="85">IF(M271&gt;0,N271*100/M271,0)</f>
        <v>53.061594202898547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29290</v>
      </c>
      <c r="O273" s="156">
        <f t="shared" ca="1" si="84"/>
        <v>53.061594202898547</v>
      </c>
      <c r="P273" s="156">
        <f t="shared" ca="1" si="85"/>
        <v>53.061594202898547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IFERROR(__xludf.DUMMYFUNCTION("IMPORTRANGE(""https://docs.google.com/spreadsheets/d/1Yj_ptqi66GCucihVvJfMjLAmec39IyEx_6qawtMGysU/edit?usp=sharing"",""สบก!CK60"")"),55200)</f>
        <v>55200</v>
      </c>
      <c r="N275" s="169">
        <f ca="1">IFERROR(__xludf.DUMMYFUNCTION("IMPORTRANGE(""https://docs.google.com/spreadsheets/d/1Yj_ptqi66GCucihVvJfMjLAmec39IyEx_6qawtMGysU/edit?usp=sharing"",""สบก!CL60"")"),29290)</f>
        <v>29290</v>
      </c>
      <c r="O275" s="169">
        <f ca="1">IF(L275&gt;0,N275*100/L275,0)</f>
        <v>53.061594202898547</v>
      </c>
      <c r="P275" s="169">
        <f ca="1">IF(M275&gt;0,N275*100/M275,0)</f>
        <v>53.061594202898547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IFERROR(__xludf.DUMMYFUNCTION("IMPORTRANGE(""https://docs.google.com/spreadsheets/d/1Yj_ptqi66GCucihVvJfMjLAmec39IyEx_6qawtMGysU/edit?usp=sharing"",""สบก!CI60"")"),0)</f>
        <v>0</v>
      </c>
      <c r="M279" s="49"/>
      <c r="N279" s="49">
        <f ca="1">IFERROR(__xludf.DUMMYFUNCTION("IMPORTRANGE(""https://docs.google.com/spreadsheets/d/1Yj_ptqi66GCucihVvJfMjLAmec39IyEx_6qawtMGysU/edit?usp=sharing"",""สบก!CM60"")"),0)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IFERROR(__xludf.DUMMYFUNCTION("IMPORTRANGE(""https://docs.google.com/spreadsheets/d/1SX6NBoVAgQJ6U1MVXOaj8PK2l7WJ3RER9xtqwdhxkhw/edit?usp=sharing"",""จันทบุรี!J191"")"),0)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IFERROR(__xludf.DUMMYFUNCTION("IMPORTRANGE(""https://docs.google.com/spreadsheets/d/1SX6NBoVAgQJ6U1MVXOaj8PK2l7WJ3RER9xtqwdhxkhw/edit?usp=sharing"",""จันทบุรี!J192"")"),1)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IFERROR(__xludf.DUMMYFUNCTION("IMPORTRANGE(""https://docs.google.com/spreadsheets/d/1SX6NBoVAgQJ6U1MVXOaj8PK2l7WJ3RER9xtqwdhxkhw/edit?usp=sharing"",""จันทบุรี!J193"")"),1)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IFERROR(__xludf.DUMMYFUNCTION("IMPORTRANGE(""https://docs.google.com/spreadsheets/d/1SX6NBoVAgQJ6U1MVXOaj8PK2l7WJ3RER9xtqwdhxkhw/edit?usp=sharing"",""จันทบุรี!J194"")"),1)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IFERROR(__xludf.DUMMYFUNCTION("IMPORTRANGE(""https://docs.google.com/spreadsheets/d/1SX6NBoVAgQJ6U1MVXOaj8PK2l7WJ3RER9xtqwdhxkhw/edit?usp=sharing"",""จันทบุรี!I195"")"),15)</f>
        <v>15</v>
      </c>
      <c r="J285" s="189">
        <f ca="1">IFERROR(__xludf.DUMMYFUNCTION("IMPORTRANGE(""https://docs.google.com/spreadsheets/d/1SX6NBoVAgQJ6U1MVXOaj8PK2l7WJ3RER9xtqwdhxkhw/edit?usp=sharing"",""จันทบุรี!J195"")"),15)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IFERROR(__xludf.DUMMYFUNCTION("IMPORTRANGE(""https://docs.google.com/spreadsheets/d/1SX6NBoVAgQJ6U1MVXOaj8PK2l7WJ3RER9xtqwdhxkhw/edit?usp=sharing"",""จันทบุรี!J196"")"),0)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IFERROR(__xludf.DUMMYFUNCTION("IMPORTRANGE(""https://docs.google.com/spreadsheets/d/1SX6NBoVAgQJ6U1MVXOaj8PK2l7WJ3RER9xtqwdhxkhw/edit?usp=sharing"",""จันทบุรี!J197"")"),0)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IFERROR(__xludf.DUMMYFUNCTION("IMPORTRANGE(""https://docs.google.com/spreadsheets/d/1SX6NBoVAgQJ6U1MVXOaj8PK2l7WJ3RER9xtqwdhxkhw/edit?usp=sharing"",""จันทบุรี!I199"")"),0)</f>
        <v>0</v>
      </c>
      <c r="J289" s="317">
        <f ca="1">IFERROR(__xludf.DUMMYFUNCTION("IMPORTRANGE(""https://docs.google.com/spreadsheets/d/1SX6NBoVAgQJ6U1MVXOaj8PK2l7WJ3RER9xtqwdhxkhw/edit?usp=sharing"",""จันทบุรี!J199"")"),0)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IFERROR(__xludf.DUMMYFUNCTION("IMPORTRANGE(""https://docs.google.com/spreadsheets/d/1Yj_ptqi66GCucihVvJfMjLAmec39IyEx_6qawtMGysU/edit?usp=sharing"",""สบก!CT60"")"),0)</f>
        <v>0</v>
      </c>
      <c r="N294" s="169">
        <f ca="1">IFERROR(__xludf.DUMMYFUNCTION("IMPORTRANGE(""https://docs.google.com/spreadsheets/d/1Yj_ptqi66GCucihVvJfMjLAmec39IyEx_6qawtMGysU/edit?usp=sharing"",""สบก!CU60"")"),0)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IFERROR(__xludf.DUMMYFUNCTION("IMPORTRANGE(""https://docs.google.com/spreadsheets/d/1Yj_ptqi66GCucihVvJfMjLAmec39IyEx_6qawtMGysU/edit?usp=sharing"",""สบก!CR60"")"),0)</f>
        <v>0</v>
      </c>
      <c r="M298" s="49"/>
      <c r="N298" s="49">
        <f ca="1">IFERROR(__xludf.DUMMYFUNCTION("IMPORTRANGE(""https://docs.google.com/spreadsheets/d/1Yj_ptqi66GCucihVvJfMjLAmec39IyEx_6qawtMGysU/edit?usp=sharing"",""สบก!CV60"")"),0)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IFERROR(__xludf.DUMMYFUNCTION("IMPORTRANGE(""https://docs.google.com/spreadsheets/d/1SX6NBoVAgQJ6U1MVXOaj8PK2l7WJ3RER9xtqwdhxkhw/edit?usp=sharing"",""จันทบุรี!J205"")"),0)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IFERROR(__xludf.DUMMYFUNCTION("IMPORTRANGE(""https://docs.google.com/spreadsheets/d/1SX6NBoVAgQJ6U1MVXOaj8PK2l7WJ3RER9xtqwdhxkhw/edit?usp=sharing"",""จันทบุรี!J206"")"),0)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IFERROR(__xludf.DUMMYFUNCTION("IMPORTRANGE(""https://docs.google.com/spreadsheets/d/1SX6NBoVAgQJ6U1MVXOaj8PK2l7WJ3RER9xtqwdhxkhw/edit?usp=sharing"",""จันทบุรี!J207"")"),0)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IFERROR(__xludf.DUMMYFUNCTION("IMPORTRANGE(""https://docs.google.com/spreadsheets/d/1SX6NBoVAgQJ6U1MVXOaj8PK2l7WJ3RER9xtqwdhxkhw/edit?usp=sharing"",""จันทบุรี!J208"")"),0)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IFERROR(__xludf.DUMMYFUNCTION("IMPORTRANGE(""https://docs.google.com/spreadsheets/d/1SX6NBoVAgQJ6U1MVXOaj8PK2l7WJ3RER9xtqwdhxkhw/edit?usp=sharing"",""จันทบุรี!I209"")"),0)</f>
        <v>0</v>
      </c>
      <c r="J304" s="204">
        <f ca="1">IFERROR(__xludf.DUMMYFUNCTION("IMPORTRANGE(""https://docs.google.com/spreadsheets/d/1SX6NBoVAgQJ6U1MVXOaj8PK2l7WJ3RER9xtqwdhxkhw/edit?usp=sharing"",""จันทบุรี!J209"")"),0)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IFERROR(__xludf.DUMMYFUNCTION("IMPORTRANGE(""https://docs.google.com/spreadsheets/d/1SX6NBoVAgQJ6U1MVXOaj8PK2l7WJ3RER9xtqwdhxkhw/edit?usp=sharing"",""จันทบุรี!I211"")"),0)</f>
        <v>0</v>
      </c>
      <c r="J306" s="204">
        <f ca="1">IFERROR(__xludf.DUMMYFUNCTION("IMPORTRANGE(""https://docs.google.com/spreadsheets/d/1SX6NBoVAgQJ6U1MVXOaj8PK2l7WJ3RER9xtqwdhxkhw/edit?usp=sharing"",""จันทบุรี!J211"")"),0)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IFERROR(__xludf.DUMMYFUNCTION("IMPORTRANGE(""https://docs.google.com/spreadsheets/d/1SX6NBoVAgQJ6U1MVXOaj8PK2l7WJ3RER9xtqwdhxkhw/edit?usp=sharing"",""จันทบุรี!J212"")"),0)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IFERROR(__xludf.DUMMYFUNCTION("IMPORTRANGE(""https://docs.google.com/spreadsheets/d/1SX6NBoVAgQJ6U1MVXOaj8PK2l7WJ3RER9xtqwdhxkhw/edit?usp=sharing"",""จันทบุรี!J213"")"),0)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IFERROR(__xludf.DUMMYFUNCTION("IMPORTRANGE(""https://docs.google.com/spreadsheets/d/1SX6NBoVAgQJ6U1MVXOaj8PK2l7WJ3RER9xtqwdhxkhw/edit?usp=sharing"",""จันทบุรี!I214"")"),0)</f>
        <v>0</v>
      </c>
      <c r="J309" s="334">
        <f ca="1">IFERROR(__xludf.DUMMYFUNCTION("IMPORTRANGE(""https://docs.google.com/spreadsheets/d/1SX6NBoVAgQJ6U1MVXOaj8PK2l7WJ3RER9xtqwdhxkhw/edit?usp=sharing"",""จันทบุรี!J214"")"),0)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IFERROR(__xludf.DUMMYFUNCTION("IMPORTRANGE(""https://docs.google.com/spreadsheets/d/1Yj_ptqi66GCucihVvJfMjLAmec39IyEx_6qawtMGysU/edit?usp=sharing"",""สบก!DC60"")"),0)</f>
        <v>0</v>
      </c>
      <c r="N314" s="169">
        <f ca="1">IFERROR(__xludf.DUMMYFUNCTION("IMPORTRANGE(""https://docs.google.com/spreadsheets/d/1Yj_ptqi66GCucihVvJfMjLAmec39IyEx_6qawtMGysU/edit?usp=sharing"",""สบก!DD60"")"),0)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IFERROR(__xludf.DUMMYFUNCTION("IMPORTRANGE(""https://docs.google.com/spreadsheets/d/1Yj_ptqi66GCucihVvJfMjLAmec39IyEx_6qawtMGysU/edit?usp=sharing"",""สบก!DA60"")"),0)</f>
        <v>0</v>
      </c>
      <c r="M318" s="49"/>
      <c r="N318" s="49">
        <f ca="1">IFERROR(__xludf.DUMMYFUNCTION("IMPORTRANGE(""https://docs.google.com/spreadsheets/d/1Yj_ptqi66GCucihVvJfMjLAmec39IyEx_6qawtMGysU/edit?usp=sharing"",""สบก!DE60"")"),0)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IFERROR(__xludf.DUMMYFUNCTION("IMPORTRANGE(""https://docs.google.com/spreadsheets/d/1SX6NBoVAgQJ6U1MVXOaj8PK2l7WJ3RER9xtqwdhxkhw/edit?usp=sharing"",""จันทบุรี!J220"")"),0)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IFERROR(__xludf.DUMMYFUNCTION("IMPORTRANGE(""https://docs.google.com/spreadsheets/d/1SX6NBoVAgQJ6U1MVXOaj8PK2l7WJ3RER9xtqwdhxkhw/edit?usp=sharing"",""จันทบุรี!J221"")"),0)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IFERROR(__xludf.DUMMYFUNCTION("IMPORTRANGE(""https://docs.google.com/spreadsheets/d/1SX6NBoVAgQJ6U1MVXOaj8PK2l7WJ3RER9xtqwdhxkhw/edit?usp=sharing"",""จันทบุรี!J222"")"),0)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IFERROR(__xludf.DUMMYFUNCTION("IMPORTRANGE(""https://docs.google.com/spreadsheets/d/1SX6NBoVAgQJ6U1MVXOaj8PK2l7WJ3RER9xtqwdhxkhw/edit?usp=sharing"",""จันทบุรี!J223"")"),0)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IFERROR(__xludf.DUMMYFUNCTION("IMPORTRANGE(""https://docs.google.com/spreadsheets/d/1SX6NBoVAgQJ6U1MVXOaj8PK2l7WJ3RER9xtqwdhxkhw/edit?usp=sharing"",""จันทบุรี!I224"")"),0)</f>
        <v>0</v>
      </c>
      <c r="J324" s="204">
        <f ca="1">IFERROR(__xludf.DUMMYFUNCTION("IMPORTRANGE(""https://docs.google.com/spreadsheets/d/1SX6NBoVAgQJ6U1MVXOaj8PK2l7WJ3RER9xtqwdhxkhw/edit?usp=sharing"",""จันทบุรี!J224"")"),0)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IFERROR(__xludf.DUMMYFUNCTION("IMPORTRANGE(""https://docs.google.com/spreadsheets/d/1SX6NBoVAgQJ6U1MVXOaj8PK2l7WJ3RER9xtqwdhxkhw/edit?usp=sharing"",""จันทบุรี!J225"")"),0)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IFERROR(__xludf.DUMMYFUNCTION("IMPORTRANGE(""https://docs.google.com/spreadsheets/d/1SX6NBoVAgQJ6U1MVXOaj8PK2l7WJ3RER9xtqwdhxkhw/edit?usp=sharing"",""จันทบุรี!J226"")"),0)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IFERROR(__xludf.DUMMYFUNCTION("IMPORTRANGE(""https://docs.google.com/spreadsheets/d/1SX6NBoVAgQJ6U1MVXOaj8PK2l7WJ3RER9xtqwdhxkhw/edit?usp=sharing"",""จันทบุรี!I228"")"),160)</f>
        <v>160</v>
      </c>
      <c r="J328" s="340">
        <f ca="1">IFERROR(__xludf.DUMMYFUNCTION("IMPORTRANGE(""https://docs.google.com/spreadsheets/d/1SX6NBoVAgQJ6U1MVXOaj8PK2l7WJ3RER9xtqwdhxkhw/edit?usp=sharing"",""จันทบุรี!J228"")"),128)</f>
        <v>128</v>
      </c>
      <c r="K328" s="318">
        <f ca="1">IF(I328&gt;0,J328*100/I328,0)</f>
        <v>80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717250</v>
      </c>
      <c r="M329" s="152">
        <f t="shared" ca="1" si="98"/>
        <v>850250</v>
      </c>
      <c r="N329" s="152">
        <f t="shared" ca="1" si="98"/>
        <v>579201</v>
      </c>
      <c r="O329" s="151">
        <f t="shared" ref="O329:O331" ca="1" si="99">IF(L329&gt;0,N329*100/L329,0)</f>
        <v>80.753014987800626</v>
      </c>
      <c r="P329" s="151">
        <f t="shared" ref="P329:P331" ca="1" si="100">IF(M329&gt;0,N329*100/M329,0)</f>
        <v>68.121258453396067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717250</v>
      </c>
      <c r="M331" s="157">
        <f t="shared" ca="1" si="102"/>
        <v>850250</v>
      </c>
      <c r="N331" s="157">
        <f t="shared" ca="1" si="102"/>
        <v>579201</v>
      </c>
      <c r="O331" s="156">
        <f t="shared" ca="1" si="99"/>
        <v>80.753014987800626</v>
      </c>
      <c r="P331" s="156">
        <f t="shared" ca="1" si="100"/>
        <v>68.121258453396067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717250</v>
      </c>
      <c r="M333" s="168">
        <f ca="1">IFERROR(__xludf.DUMMYFUNCTION("IMPORTRANGE(""https://docs.google.com/spreadsheets/d/1Yj_ptqi66GCucihVvJfMjLAmec39IyEx_6qawtMGysU/edit?usp=sharing"",""สบก!DL60"")"),850250)</f>
        <v>850250</v>
      </c>
      <c r="N333" s="169">
        <f ca="1">IFERROR(__xludf.DUMMYFUNCTION("IMPORTRANGE(""https://docs.google.com/spreadsheets/d/1Yj_ptqi66GCucihVvJfMjLAmec39IyEx_6qawtMGysU/edit?usp=sharing"",""สบก!DM60"")"),579201)</f>
        <v>579201</v>
      </c>
      <c r="O333" s="169">
        <f ca="1">IF(L333&gt;0,N333*100/L333,0)</f>
        <v>80.753014987800626</v>
      </c>
      <c r="P333" s="169">
        <f ca="1">IF(M333&gt;0,N333*100/M333,0)</f>
        <v>68.121258453396067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IFERROR(__xludf.DUMMYFUNCTION("IMPORTRANGE(""https://docs.google.com/spreadsheets/d/1Yj_ptqi66GCucihVvJfMjLAmec39IyEx_6qawtMGysU/edit?usp=sharing"",""สบก!DH60"")"),306000)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IFERROR(__xludf.DUMMYFUNCTION("IMPORTRANGE(""https://docs.google.com/spreadsheets/d/1Yj_ptqi66GCucihVvJfMjLAmec39IyEx_6qawtMGysU/edit?usp=sharing"",""สบก!DI60"")"),411250)</f>
        <v>411250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IFERROR(__xludf.DUMMYFUNCTION("IMPORTRANGE(""https://docs.google.com/spreadsheets/d/1Yj_ptqi66GCucihVvJfMjLAmec39IyEx_6qawtMGysU/edit?usp=sharing"",""สบก!DJ60"")"),0)</f>
        <v>0</v>
      </c>
      <c r="M337" s="49"/>
      <c r="N337" s="49">
        <f ca="1">IFERROR(__xludf.DUMMYFUNCTION("IMPORTRANGE(""https://docs.google.com/spreadsheets/d/1Yj_ptqi66GCucihVvJfMjLAmec39IyEx_6qawtMGysU/edit?usp=sharing"",""สบก!DN60"")"),0)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IFERROR(__xludf.DUMMYFUNCTION("IMPORTRANGE(""https://docs.google.com/spreadsheets/d/1SX6NBoVAgQJ6U1MVXOaj8PK2l7WJ3RER9xtqwdhxkhw/edit?usp=sharing"",""จันทบุรี!I234"")"),0)</f>
        <v>0</v>
      </c>
      <c r="J339" s="188">
        <f ca="1">IFERROR(__xludf.DUMMYFUNCTION("IMPORTRANGE(""https://docs.google.com/spreadsheets/d/1SX6NBoVAgQJ6U1MVXOaj8PK2l7WJ3RER9xtqwdhxkhw/edit?usp=sharing"",""จันทบุรี!J234"")"),215)</f>
        <v>215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IFERROR(__xludf.DUMMYFUNCTION("IMPORTRANGE(""https://docs.google.com/spreadsheets/d/1SX6NBoVAgQJ6U1MVXOaj8PK2l7WJ3RER9xtqwdhxkhw/edit?usp=sharing"",""จันทบุรี!I235"")"),2750)</f>
        <v>2750</v>
      </c>
      <c r="J340" s="188">
        <f ca="1">IFERROR(__xludf.DUMMYFUNCTION("IMPORTRANGE(""https://docs.google.com/spreadsheets/d/1SX6NBoVAgQJ6U1MVXOaj8PK2l7WJ3RER9xtqwdhxkhw/edit?usp=sharing"",""จันทบุรี!J235"")"),2831.06)</f>
        <v>2831.06</v>
      </c>
      <c r="K340" s="343">
        <f t="shared" ca="1" si="103"/>
        <v>102.94763636363636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IFERROR(__xludf.DUMMYFUNCTION("IMPORTRANGE(""https://docs.google.com/spreadsheets/d/1SX6NBoVAgQJ6U1MVXOaj8PK2l7WJ3RER9xtqwdhxkhw/edit?usp=sharing"",""จันทบุรี!I236"")"),160)</f>
        <v>160</v>
      </c>
      <c r="J341" s="188">
        <f ca="1">IFERROR(__xludf.DUMMYFUNCTION("IMPORTRANGE(""https://docs.google.com/spreadsheets/d/1SX6NBoVAgQJ6U1MVXOaj8PK2l7WJ3RER9xtqwdhxkhw/edit?usp=sharing"",""จันทบุรี!J236"")"),166)</f>
        <v>166</v>
      </c>
      <c r="K341" s="343">
        <f t="shared" ca="1" si="103"/>
        <v>103.75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IFERROR(__xludf.DUMMYFUNCTION("IMPORTRANGE(""https://docs.google.com/spreadsheets/d/1SX6NBoVAgQJ6U1MVXOaj8PK2l7WJ3RER9xtqwdhxkhw/edit?usp=sharing"",""จันทบุรี!I237"")"),0)</f>
        <v>0</v>
      </c>
      <c r="J342" s="188">
        <f ca="1">IFERROR(__xludf.DUMMYFUNCTION("IMPORTRANGE(""https://docs.google.com/spreadsheets/d/1SX6NBoVAgQJ6U1MVXOaj8PK2l7WJ3RER9xtqwdhxkhw/edit?usp=sharing"",""จันทบุรี!J237"")"),2120.04)</f>
        <v>2120.04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IFERROR(__xludf.DUMMYFUNCTION("IMPORTRANGE(""https://docs.google.com/spreadsheets/d/1SX6NBoVAgQJ6U1MVXOaj8PK2l7WJ3RER9xtqwdhxkhw/edit?usp=sharing"",""จันทบุรี!I238"")"),160)</f>
        <v>160</v>
      </c>
      <c r="J343" s="188">
        <f ca="1">IFERROR(__xludf.DUMMYFUNCTION("IMPORTRANGE(""https://docs.google.com/spreadsheets/d/1SX6NBoVAgQJ6U1MVXOaj8PK2l7WJ3RER9xtqwdhxkhw/edit?usp=sharing"",""จันทบุรี!J238"")"),0)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IFERROR(__xludf.DUMMYFUNCTION("IMPORTRANGE(""https://docs.google.com/spreadsheets/d/1SX6NBoVAgQJ6U1MVXOaj8PK2l7WJ3RER9xtqwdhxkhw/edit?usp=sharing"",""จันทบุรี!I239"")"),0)</f>
        <v>0</v>
      </c>
      <c r="J344" s="188">
        <f ca="1">IFERROR(__xludf.DUMMYFUNCTION("IMPORTRANGE(""https://docs.google.com/spreadsheets/d/1SX6NBoVAgQJ6U1MVXOaj8PK2l7WJ3RER9xtqwdhxkhw/edit?usp=sharing"",""จันทบุรี!J239"")"),0)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IFERROR(__xludf.DUMMYFUNCTION("IMPORTRANGE(""https://docs.google.com/spreadsheets/d/1SX6NBoVAgQJ6U1MVXOaj8PK2l7WJ3RER9xtqwdhxkhw/edit?usp=sharing"",""จันทบุรี!I240"")"),160)</f>
        <v>160</v>
      </c>
      <c r="J345" s="188">
        <f ca="1">IFERROR(__xludf.DUMMYFUNCTION("IMPORTRANGE(""https://docs.google.com/spreadsheets/d/1SX6NBoVAgQJ6U1MVXOaj8PK2l7WJ3RER9xtqwdhxkhw/edit?usp=sharing"",""จันทบุรี!J240"")"),128)</f>
        <v>128</v>
      </c>
      <c r="K345" s="343">
        <f t="shared" ca="1" si="103"/>
        <v>80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IFERROR(__xludf.DUMMYFUNCTION("IMPORTRANGE(""https://docs.google.com/spreadsheets/d/1SX6NBoVAgQJ6U1MVXOaj8PK2l7WJ3RER9xtqwdhxkhw/edit?usp=sharing"",""จันทบุรี!I241"")"),0)</f>
        <v>0</v>
      </c>
      <c r="J346" s="188">
        <f ca="1">IFERROR(__xludf.DUMMYFUNCTION("IMPORTRANGE(""https://docs.google.com/spreadsheets/d/1SX6NBoVAgQJ6U1MVXOaj8PK2l7WJ3RER9xtqwdhxkhw/edit?usp=sharing"",""จันทบุรี!J241"")"),1595.03)</f>
        <v>1595.03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IFERROR(__xludf.DUMMYFUNCTION("IMPORTRANGE(""https://docs.google.com/spreadsheets/d/1SX6NBoVAgQJ6U1MVXOaj8PK2l7WJ3RER9xtqwdhxkhw/edit?usp=sharing"",""จันทบุรี!L242"")"),1032223)</f>
        <v>1032223</v>
      </c>
      <c r="M347" s="358"/>
      <c r="N347" s="358">
        <f ca="1">IFERROR(__xludf.DUMMYFUNCTION("IMPORTRANGE(""https://docs.google.com/spreadsheets/d/1SX6NBoVAgQJ6U1MVXOaj8PK2l7WJ3RER9xtqwdhxkhw/edit?usp=sharing"",""จันทบุรี!M242"")"),735920)</f>
        <v>735920</v>
      </c>
      <c r="O347" s="358">
        <f ca="1">+IF(L347&gt;0,N347*100/L347,0)</f>
        <v>71.29467179088239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IFERROR(__xludf.DUMMYFUNCTION("IMPORTRANGE(""https://docs.google.com/spreadsheets/d/1SX6NBoVAgQJ6U1MVXOaj8PK2l7WJ3RER9xtqwdhxkhw/edit?usp=sharing"",""จันทบุรี!I244"")"),0)</f>
        <v>0</v>
      </c>
      <c r="J349" s="371">
        <f ca="1">IFERROR(__xludf.DUMMYFUNCTION("IMPORTRANGE(""https://docs.google.com/spreadsheets/d/1SX6NBoVAgQJ6U1MVXOaj8PK2l7WJ3RER9xtqwdhxkhw/edit?usp=sharing"",""จันทบุรี!J244"")"),0)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IFERROR(__xludf.DUMMYFUNCTION("IMPORTRANGE(""https://docs.google.com/spreadsheets/d/1SX6NBoVAgQJ6U1MVXOaj8PK2l7WJ3RER9xtqwdhxkhw/edit?usp=sharing"",""จันทบุรี!L244"")"),0)</f>
        <v>0</v>
      </c>
      <c r="M349" s="373"/>
      <c r="N349" s="373">
        <f ca="1">IFERROR(__xludf.DUMMYFUNCTION("IMPORTRANGE(""https://docs.google.com/spreadsheets/d/1SX6NBoVAgQJ6U1MVXOaj8PK2l7WJ3RER9xtqwdhxkhw/edit?usp=sharing"",""จันทบุรี!M244"")"),0)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IFERROR(__xludf.DUMMYFUNCTION("IMPORTRANGE(""https://docs.google.com/spreadsheets/d/1SX6NBoVAgQJ6U1MVXOaj8PK2l7WJ3RER9xtqwdhxkhw/edit?usp=sharing"",""จันทบุรี!I245"")"),0)</f>
        <v>0</v>
      </c>
      <c r="J350" s="371">
        <f ca="1">IFERROR(__xludf.DUMMYFUNCTION("IMPORTRANGE(""https://docs.google.com/spreadsheets/d/1SX6NBoVAgQJ6U1MVXOaj8PK2l7WJ3RER9xtqwdhxkhw/edit?usp=sharing"",""จันทบุรี!J245"")"),0)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IFERROR(__xludf.DUMMYFUNCTION("IMPORTRANGE(""https://docs.google.com/spreadsheets/d/1SX6NBoVAgQJ6U1MVXOaj8PK2l7WJ3RER9xtqwdhxkhw/edit?usp=sharing"",""จันทบุรี!L246"")"),0)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IFERROR(__xludf.DUMMYFUNCTION("IMPORTRANGE(""https://docs.google.com/spreadsheets/d/1SX6NBoVAgQJ6U1MVXOaj8PK2l7WJ3RER9xtqwdhxkhw/edit?usp=sharing"",""จันทบุรี!M246"")"),0)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IFERROR(__xludf.DUMMYFUNCTION("IMPORTRANGE(""https://docs.google.com/spreadsheets/d/1SX6NBoVAgQJ6U1MVXOaj8PK2l7WJ3RER9xtqwdhxkhw/edit?usp=sharing"",""จันทบุรี!L247"")"),0)</f>
        <v>0</v>
      </c>
      <c r="M352" s="165"/>
      <c r="N352" s="164">
        <f ca="1">IFERROR(__xludf.DUMMYFUNCTION("IMPORTRANGE(""https://docs.google.com/spreadsheets/d/1SX6NBoVAgQJ6U1MVXOaj8PK2l7WJ3RER9xtqwdhxkhw/edit?usp=sharing"",""จันทบุรี!M247"")"),0)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IFERROR(__xludf.DUMMYFUNCTION("IMPORTRANGE(""https://docs.google.com/spreadsheets/d/1SX6NBoVAgQJ6U1MVXOaj8PK2l7WJ3RER9xtqwdhxkhw/edit?usp=sharing"",""จันทบุรี!L248"")"),0)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IFERROR(__xludf.DUMMYFUNCTION("IMPORTRANGE(""https://docs.google.com/spreadsheets/d/1SX6NBoVAgQJ6U1MVXOaj8PK2l7WJ3RER9xtqwdhxkhw/edit?usp=sharing"",""จันทบุรี!M248"")"),0)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IFERROR(__xludf.DUMMYFUNCTION("IMPORTRANGE(""https://docs.google.com/spreadsheets/d/1SX6NBoVAgQJ6U1MVXOaj8PK2l7WJ3RER9xtqwdhxkhw/edit?usp=sharing"",""จันทบุรี!L249"")"),0)</f>
        <v>0</v>
      </c>
      <c r="M354" s="169"/>
      <c r="N354" s="168">
        <f ca="1">IFERROR(__xludf.DUMMYFUNCTION("IMPORTRANGE(""https://docs.google.com/spreadsheets/d/1SX6NBoVAgQJ6U1MVXOaj8PK2l7WJ3RER9xtqwdhxkhw/edit?usp=sharing"",""จันทบุรี!M249"")"),0)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IFERROR(__xludf.DUMMYFUNCTION("IMPORTRANGE(""https://docs.google.com/spreadsheets/d/1SX6NBoVAgQJ6U1MVXOaj8PK2l7WJ3RER9xtqwdhxkhw/edit?usp=sharing"",""จันทบุรี!M250"")"),0)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IFERROR(__xludf.DUMMYFUNCTION("IMPORTRANGE(""https://docs.google.com/spreadsheets/d/1SX6NBoVAgQJ6U1MVXOaj8PK2l7WJ3RER9xtqwdhxkhw/edit?usp=sharing"",""จันทบุรี!M251"")"),0)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IFERROR(__xludf.DUMMYFUNCTION("IMPORTRANGE(""https://docs.google.com/spreadsheets/d/1SX6NBoVAgQJ6U1MVXOaj8PK2l7WJ3RER9xtqwdhxkhw/edit?usp=sharing"",""จันทบุรี!M252"")"),0)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IFERROR(__xludf.DUMMYFUNCTION("IMPORTRANGE(""https://docs.google.com/spreadsheets/d/1SX6NBoVAgQJ6U1MVXOaj8PK2l7WJ3RER9xtqwdhxkhw/edit?usp=sharing"",""จันทบุรี!M253"")"),0)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IFERROR(__xludf.DUMMYFUNCTION("IMPORTRANGE(""https://docs.google.com/spreadsheets/d/1SX6NBoVAgQJ6U1MVXOaj8PK2l7WJ3RER9xtqwdhxkhw/edit?usp=sharing"",""จันทบุรี!J255"")"),0)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IFERROR(__xludf.DUMMYFUNCTION("IMPORTRANGE(""https://docs.google.com/spreadsheets/d/1SX6NBoVAgQJ6U1MVXOaj8PK2l7WJ3RER9xtqwdhxkhw/edit?usp=sharing"",""จันทบุรี!J256"")"),0)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IFERROR(__xludf.DUMMYFUNCTION("IMPORTRANGE(""https://docs.google.com/spreadsheets/d/1SX6NBoVAgQJ6U1MVXOaj8PK2l7WJ3RER9xtqwdhxkhw/edit?usp=sharing"",""จันทบุรี!J257"")"),0)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IFERROR(__xludf.DUMMYFUNCTION("IMPORTRANGE(""https://docs.google.com/spreadsheets/d/1SX6NBoVAgQJ6U1MVXOaj8PK2l7WJ3RER9xtqwdhxkhw/edit?usp=sharing"",""จันทบุรี!J258"")"),0)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IFERROR(__xludf.DUMMYFUNCTION("IMPORTRANGE(""https://docs.google.com/spreadsheets/d/1SX6NBoVAgQJ6U1MVXOaj8PK2l7WJ3RER9xtqwdhxkhw/edit?usp=sharing"",""จันทบุรี!J166"")"),0)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IFERROR(__xludf.DUMMYFUNCTION("IMPORTRANGE(""https://docs.google.com/spreadsheets/d/1SX6NBoVAgQJ6U1MVXOaj8PK2l7WJ3RER9xtqwdhxkhw/edit?usp=sharing"",""จันทบุรี!J166"")"),0)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IFERROR(__xludf.DUMMYFUNCTION("IMPORTRANGE(""https://docs.google.com/spreadsheets/d/1SX6NBoVAgQJ6U1MVXOaj8PK2l7WJ3RER9xtqwdhxkhw/edit?usp=sharing"",""จันทบุรี!J166"")"),0)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IFERROR(__xludf.DUMMYFUNCTION("IMPORTRANGE(""https://docs.google.com/spreadsheets/d/1SX6NBoVAgQJ6U1MVXOaj8PK2l7WJ3RER9xtqwdhxkhw/edit?usp=sharing"",""จันทบุรี!J166"")"),0)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IFERROR(__xludf.DUMMYFUNCTION("IMPORTRANGE(""https://docs.google.com/spreadsheets/d/1SX6NBoVAgQJ6U1MVXOaj8PK2l7WJ3RER9xtqwdhxkhw/edit?usp=sharing"",""จันทบุรี!I263"")"),0)</f>
        <v>0</v>
      </c>
      <c r="J368" s="188">
        <f ca="1">IFERROR(__xludf.DUMMYFUNCTION("IMPORTRANGE(""https://docs.google.com/spreadsheets/d/1SX6NBoVAgQJ6U1MVXOaj8PK2l7WJ3RER9xtqwdhxkhw/edit?usp=sharing"",""จันทบุรี!J263"")"),0)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IFERROR(__xludf.DUMMYFUNCTION("IMPORTRANGE(""https://docs.google.com/spreadsheets/d/1SX6NBoVAgQJ6U1MVXOaj8PK2l7WJ3RER9xtqwdhxkhw/edit?usp=sharing"",""จันทบุรี!I164"")"),0)</f>
        <v>0</v>
      </c>
      <c r="J369" s="204">
        <f ca="1">IFERROR(__xludf.DUMMYFUNCTION("IMPORTRANGE(""https://docs.google.com/spreadsheets/d/1SX6NBoVAgQJ6U1MVXOaj8PK2l7WJ3RER9xtqwdhxkhw/edit?usp=sharing"",""จันทบุรี!J164"")"),0)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IFERROR(__xludf.DUMMYFUNCTION("IMPORTRANGE(""https://docs.google.com/spreadsheets/d/1SX6NBoVAgQJ6U1MVXOaj8PK2l7WJ3RER9xtqwdhxkhw/edit?usp=sharing"",""จันทบุรี!I265"")"),0)</f>
        <v>0</v>
      </c>
      <c r="J370" s="204">
        <f ca="1">IFERROR(__xludf.DUMMYFUNCTION("IMPORTRANGE(""https://docs.google.com/spreadsheets/d/1SX6NBoVAgQJ6U1MVXOaj8PK2l7WJ3RER9xtqwdhxkhw/edit?usp=sharing"",""จันทบุรี!J265"")"),0)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IFERROR(__xludf.DUMMYFUNCTION("IMPORTRANGE(""https://docs.google.com/spreadsheets/d/1SX6NBoVAgQJ6U1MVXOaj8PK2l7WJ3RER9xtqwdhxkhw/edit?usp=sharing"",""จันทบุรี!I164"")"),0)</f>
        <v>0</v>
      </c>
      <c r="J371" s="189">
        <f ca="1">IFERROR(__xludf.DUMMYFUNCTION("IMPORTRANGE(""https://docs.google.com/spreadsheets/d/1SX6NBoVAgQJ6U1MVXOaj8PK2l7WJ3RER9xtqwdhxkhw/edit?usp=sharing"",""จันทบุรี!J164"")"),0)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IFERROR(__xludf.DUMMYFUNCTION("IMPORTRANGE(""https://docs.google.com/spreadsheets/d/1SX6NBoVAgQJ6U1MVXOaj8PK2l7WJ3RER9xtqwdhxkhw/edit?usp=sharing"",""จันทบุรี!I267"")"),0)</f>
        <v>0</v>
      </c>
      <c r="J372" s="189">
        <f ca="1">IFERROR(__xludf.DUMMYFUNCTION("IMPORTRANGE(""https://docs.google.com/spreadsheets/d/1SX6NBoVAgQJ6U1MVXOaj8PK2l7WJ3RER9xtqwdhxkhw/edit?usp=sharing"",""จันทบุรี!J267"")"),0)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IFERROR(__xludf.DUMMYFUNCTION("IMPORTRANGE(""https://docs.google.com/spreadsheets/d/1SX6NBoVAgQJ6U1MVXOaj8PK2l7WJ3RER9xtqwdhxkhw/edit?usp=sharing"",""จันทบุรี!I164"")"),0)</f>
        <v>0</v>
      </c>
      <c r="J373" s="204">
        <f ca="1">IFERROR(__xludf.DUMMYFUNCTION("IMPORTRANGE(""https://docs.google.com/spreadsheets/d/1SX6NBoVAgQJ6U1MVXOaj8PK2l7WJ3RER9xtqwdhxkhw/edit?usp=sharing"",""จันทบุรี!J164"")"),0)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IFERROR(__xludf.DUMMYFUNCTION("IMPORTRANGE(""https://docs.google.com/spreadsheets/d/1SX6NBoVAgQJ6U1MVXOaj8PK2l7WJ3RER9xtqwdhxkhw/edit?usp=sharing"",""จันทบุรี!I164"")"),0)</f>
        <v>0</v>
      </c>
      <c r="J374" s="188">
        <f ca="1">IFERROR(__xludf.DUMMYFUNCTION("IMPORTRANGE(""https://docs.google.com/spreadsheets/d/1SX6NBoVAgQJ6U1MVXOaj8PK2l7WJ3RER9xtqwdhxkhw/edit?usp=sharing"",""จันทบุรี!J164"")"),0)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IFERROR(__xludf.DUMMYFUNCTION("IMPORTRANGE(""https://docs.google.com/spreadsheets/d/1SX6NBoVAgQJ6U1MVXOaj8PK2l7WJ3RER9xtqwdhxkhw/edit?usp=sharing"",""จันทบุรี!I270"")"),0)</f>
        <v>0</v>
      </c>
      <c r="J375" s="188">
        <f ca="1">IFERROR(__xludf.DUMMYFUNCTION("IMPORTRANGE(""https://docs.google.com/spreadsheets/d/1SX6NBoVAgQJ6U1MVXOaj8PK2l7WJ3RER9xtqwdhxkhw/edit?usp=sharing"",""จันทบุรี!J270"")"),0)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IFERROR(__xludf.DUMMYFUNCTION("IMPORTRANGE(""https://docs.google.com/spreadsheets/d/1SX6NBoVAgQJ6U1MVXOaj8PK2l7WJ3RER9xtqwdhxkhw/edit?usp=sharing"",""จันทบุรี!I271"")"),0)</f>
        <v>0</v>
      </c>
      <c r="J376" s="189">
        <f ca="1">IFERROR(__xludf.DUMMYFUNCTION("IMPORTRANGE(""https://docs.google.com/spreadsheets/d/1SX6NBoVAgQJ6U1MVXOaj8PK2l7WJ3RER9xtqwdhxkhw/edit?usp=sharing"",""จันทบุรี!J271"")"),0)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IFERROR(__xludf.DUMMYFUNCTION("IMPORTRANGE(""https://docs.google.com/spreadsheets/d/1SX6NBoVAgQJ6U1MVXOaj8PK2l7WJ3RER9xtqwdhxkhw/edit?usp=sharing"",""จันทบุรี!I272"")"),0)</f>
        <v>0</v>
      </c>
      <c r="J377" s="204">
        <f ca="1">IFERROR(__xludf.DUMMYFUNCTION("IMPORTRANGE(""https://docs.google.com/spreadsheets/d/1SX6NBoVAgQJ6U1MVXOaj8PK2l7WJ3RER9xtqwdhxkhw/edit?usp=sharing"",""จันทบุรี!J272"")"),0)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IFERROR(__xludf.DUMMYFUNCTION("IMPORTRANGE(""https://docs.google.com/spreadsheets/d/1SX6NBoVAgQJ6U1MVXOaj8PK2l7WJ3RER9xtqwdhxkhw/edit?usp=sharing"",""จันทบุรี!J273"")"),0)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IFERROR(__xludf.DUMMYFUNCTION("IMPORTRANGE(""https://docs.google.com/spreadsheets/d/1SX6NBoVAgQJ6U1MVXOaj8PK2l7WJ3RER9xtqwdhxkhw/edit?usp=sharing"",""จันทบุรี!J274"")"),0)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IFERROR(__xludf.DUMMYFUNCTION("IMPORTRANGE(""https://docs.google.com/spreadsheets/d/1SX6NBoVAgQJ6U1MVXOaj8PK2l7WJ3RER9xtqwdhxkhw/edit?usp=sharing"",""จันทบุรี!I275"")"),500)</f>
        <v>500</v>
      </c>
      <c r="J380" s="371">
        <f ca="1">IFERROR(__xludf.DUMMYFUNCTION("IMPORTRANGE(""https://docs.google.com/spreadsheets/d/1SX6NBoVAgQJ6U1MVXOaj8PK2l7WJ3RER9xtqwdhxkhw/edit?usp=sharing"",""จันทบุรี!J275"")"),500)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IFERROR(__xludf.DUMMYFUNCTION("IMPORTRANGE(""https://docs.google.com/spreadsheets/d/1SX6NBoVAgQJ6U1MVXOaj8PK2l7WJ3RER9xtqwdhxkhw/edit?usp=sharing"",""จันทบุรี!L275"")"),460140)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IFERROR(__xludf.DUMMYFUNCTION("IMPORTRANGE(""https://docs.google.com/spreadsheets/d/1SX6NBoVAgQJ6U1MVXOaj8PK2l7WJ3RER9xtqwdhxkhw/edit?usp=sharing"",""จันทบุรี!M275"")"),441651)</f>
        <v>441651</v>
      </c>
      <c r="O380" s="373">
        <f ca="1">+IF(L380&gt;0,N380*100/L380,0)</f>
        <v>95.981875081496938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IFERROR(__xludf.DUMMYFUNCTION("IMPORTRANGE(""https://docs.google.com/spreadsheets/d/1SX6NBoVAgQJ6U1MVXOaj8PK2l7WJ3RER9xtqwdhxkhw/edit?usp=sharing"",""จันทบุรี!I276"")"),50)</f>
        <v>50</v>
      </c>
      <c r="J381" s="371">
        <f ca="1">IFERROR(__xludf.DUMMYFUNCTION("IMPORTRANGE(""https://docs.google.com/spreadsheets/d/1SX6NBoVAgQJ6U1MVXOaj8PK2l7WJ3RER9xtqwdhxkhw/edit?usp=sharing"",""จันทบุรี!J276"")"),50)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IFERROR(__xludf.DUMMYFUNCTION("IMPORTRANGE(""https://docs.google.com/spreadsheets/d/1SX6NBoVAgQJ6U1MVXOaj8PK2l7WJ3RER9xtqwdhxkhw/edit?usp=sharing"",""จันทบุรี!L277"")"),0)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IFERROR(__xludf.DUMMYFUNCTION("IMPORTRANGE(""https://docs.google.com/spreadsheets/d/1SX6NBoVAgQJ6U1MVXOaj8PK2l7WJ3RER9xtqwdhxkhw/edit?usp=sharing"",""จันทบุรี!M277"")"),0)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IFERROR(__xludf.DUMMYFUNCTION("IMPORTRANGE(""https://docs.google.com/spreadsheets/d/1SX6NBoVAgQJ6U1MVXOaj8PK2l7WJ3RER9xtqwdhxkhw/edit?usp=sharing"",""จันทบุรี!L278"")"),460140)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IFERROR(__xludf.DUMMYFUNCTION("IMPORTRANGE(""https://docs.google.com/spreadsheets/d/1SX6NBoVAgQJ6U1MVXOaj8PK2l7WJ3RER9xtqwdhxkhw/edit?usp=sharing"",""จันทบุรี!M278"")"),441651)</f>
        <v>441651</v>
      </c>
      <c r="O383" s="165">
        <f t="shared" ca="1" si="109"/>
        <v>95.981875081496938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IFERROR(__xludf.DUMMYFUNCTION("IMPORTRANGE(""https://docs.google.com/spreadsheets/d/1SX6NBoVAgQJ6U1MVXOaj8PK2l7WJ3RER9xtqwdhxkhw/edit?usp=sharing"",""จันทบุรี!L279"")"),0)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IFERROR(__xludf.DUMMYFUNCTION("IMPORTRANGE(""https://docs.google.com/spreadsheets/d/1SX6NBoVAgQJ6U1MVXOaj8PK2l7WJ3RER9xtqwdhxkhw/edit?usp=sharing"",""จันทบุรี!M279"")"),0)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IFERROR(__xludf.DUMMYFUNCTION("IMPORTRANGE(""https://docs.google.com/spreadsheets/d/1SX6NBoVAgQJ6U1MVXOaj8PK2l7WJ3RER9xtqwdhxkhw/edit?usp=sharing"",""จันทบุรี!L280"")"),460140)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IFERROR(__xludf.DUMMYFUNCTION("IMPORTRANGE(""https://docs.google.com/spreadsheets/d/1SX6NBoVAgQJ6U1MVXOaj8PK2l7WJ3RER9xtqwdhxkhw/edit?usp=sharing"",""จันทบุรี!M280"")"),441651)</f>
        <v>441651</v>
      </c>
      <c r="O385" s="169">
        <f t="shared" ca="1" si="109"/>
        <v>95.981875081496938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IFERROR(__xludf.DUMMYFUNCTION("IMPORTRANGE(""https://docs.google.com/spreadsheets/d/1SX6NBoVAgQJ6U1MVXOaj8PK2l7WJ3RER9xtqwdhxkhw/edit?usp=sharing"",""จันทบุรี!M281"")"),114501)</f>
        <v>114501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IFERROR(__xludf.DUMMYFUNCTION("IMPORTRANGE(""https://docs.google.com/spreadsheets/d/1SX6NBoVAgQJ6U1MVXOaj8PK2l7WJ3RER9xtqwdhxkhw/edit?usp=sharing"",""จันทบุรี!M282"")"),312500)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IFERROR(__xludf.DUMMYFUNCTION("IMPORTRANGE(""https://docs.google.com/spreadsheets/d/1SX6NBoVAgQJ6U1MVXOaj8PK2l7WJ3RER9xtqwdhxkhw/edit?usp=sharing"",""จันทบุรี!M283"")"),0)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IFERROR(__xludf.DUMMYFUNCTION("IMPORTRANGE(""https://docs.google.com/spreadsheets/d/1SX6NBoVAgQJ6U1MVXOaj8PK2l7WJ3RER9xtqwdhxkhw/edit?usp=sharing"",""จันทบุรี!M284"")"),14650)</f>
        <v>14650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IFERROR(__xludf.DUMMYFUNCTION("IMPORTRANGE(""https://docs.google.com/spreadsheets/d/1SX6NBoVAgQJ6U1MVXOaj8PK2l7WJ3RER9xtqwdhxkhw/edit?usp=sharing"",""จันทบุรี!J286"")"),0)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IFERROR(__xludf.DUMMYFUNCTION("IMPORTRANGE(""https://docs.google.com/spreadsheets/d/1SX6NBoVAgQJ6U1MVXOaj8PK2l7WJ3RER9xtqwdhxkhw/edit?usp=sharing"",""จันทบุรี!J287"")"),1)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IFERROR(__xludf.DUMMYFUNCTION("IMPORTRANGE(""https://docs.google.com/spreadsheets/d/1SX6NBoVAgQJ6U1MVXOaj8PK2l7WJ3RER9xtqwdhxkhw/edit?usp=sharing"",""จันทบุรี!J288"")"),1)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IFERROR(__xludf.DUMMYFUNCTION("IMPORTRANGE(""https://docs.google.com/spreadsheets/d/1SX6NBoVAgQJ6U1MVXOaj8PK2l7WJ3RER9xtqwdhxkhw/edit?usp=sharing"",""จันทบุรี!J289"")"),1)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IFERROR(__xludf.DUMMYFUNCTION("IMPORTRANGE(""https://docs.google.com/spreadsheets/d/1SX6NBoVAgQJ6U1MVXOaj8PK2l7WJ3RER9xtqwdhxkhw/edit?usp=sharing"",""จันทบุรี!I291"")"),50)</f>
        <v>50</v>
      </c>
      <c r="J396" s="198">
        <f ca="1">IFERROR(__xludf.DUMMYFUNCTION("IMPORTRANGE(""https://docs.google.com/spreadsheets/d/1SX6NBoVAgQJ6U1MVXOaj8PK2l7WJ3RER9xtqwdhxkhw/edit?usp=sharing"",""จันทบุรี!J291"")"),50)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IFERROR(__xludf.DUMMYFUNCTION("IMPORTRANGE(""https://docs.google.com/spreadsheets/d/1SX6NBoVAgQJ6U1MVXOaj8PK2l7WJ3RER9xtqwdhxkhw/edit?usp=sharing"",""จันทบุรี!I292"")"),500)</f>
        <v>500</v>
      </c>
      <c r="J397" s="198">
        <f ca="1">IFERROR(__xludf.DUMMYFUNCTION("IMPORTRANGE(""https://docs.google.com/spreadsheets/d/1SX6NBoVAgQJ6U1MVXOaj8PK2l7WJ3RER9xtqwdhxkhw/edit?usp=sharing"",""จันทบุรี!J292"")"),500)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IFERROR(__xludf.DUMMYFUNCTION("IMPORTRANGE(""https://docs.google.com/spreadsheets/d/1SX6NBoVAgQJ6U1MVXOaj8PK2l7WJ3RER9xtqwdhxkhw/edit?usp=sharing"",""จันทบุรี!I293"")"),50)</f>
        <v>50</v>
      </c>
      <c r="J398" s="198">
        <f ca="1">IFERROR(__xludf.DUMMYFUNCTION("IMPORTRANGE(""https://docs.google.com/spreadsheets/d/1SX6NBoVAgQJ6U1MVXOaj8PK2l7WJ3RER9xtqwdhxkhw/edit?usp=sharing"",""จันทบุรี!J293"")"),50)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IFERROR(__xludf.DUMMYFUNCTION("IMPORTRANGE(""https://docs.google.com/spreadsheets/d/1SX6NBoVAgQJ6U1MVXOaj8PK2l7WJ3RER9xtqwdhxkhw/edit?usp=sharing"",""จันทบุรี!J294"")"),0)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IFERROR(__xludf.DUMMYFUNCTION("IMPORTRANGE(""https://docs.google.com/spreadsheets/d/1SX6NBoVAgQJ6U1MVXOaj8PK2l7WJ3RER9xtqwdhxkhw/edit?usp=sharing"",""จันทบุรี!J295"")"),0)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IFERROR(__xludf.DUMMYFUNCTION("IMPORTRANGE(""https://docs.google.com/spreadsheets/d/1SX6NBoVAgQJ6U1MVXOaj8PK2l7WJ3RER9xtqwdhxkhw/edit?usp=sharing"",""จันทบุรี!I296"")"),120)</f>
        <v>120</v>
      </c>
      <c r="J401" s="371">
        <f ca="1">IFERROR(__xludf.DUMMYFUNCTION("IMPORTRANGE(""https://docs.google.com/spreadsheets/d/1SX6NBoVAgQJ6U1MVXOaj8PK2l7WJ3RER9xtqwdhxkhw/edit?usp=sharing"",""จันทบุรี!J296"")"),120)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IFERROR(__xludf.DUMMYFUNCTION("IMPORTRANGE(""https://docs.google.com/spreadsheets/d/1SX6NBoVAgQJ6U1MVXOaj8PK2l7WJ3RER9xtqwdhxkhw/edit?usp=sharing"",""จันทบุรี!L296"")"),144560)</f>
        <v>144560</v>
      </c>
      <c r="M401" s="373"/>
      <c r="N401" s="373">
        <f ca="1">IFERROR(__xludf.DUMMYFUNCTION("IMPORTRANGE(""https://docs.google.com/spreadsheets/d/1SX6NBoVAgQJ6U1MVXOaj8PK2l7WJ3RER9xtqwdhxkhw/edit?usp=sharing"",""จันทบุรี!M296"")"),37745)</f>
        <v>37745</v>
      </c>
      <c r="O401" s="373">
        <f ca="1">+IF(L401&gt;0,N401*100/L401,0)</f>
        <v>26.110265633646929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IFERROR(__xludf.DUMMYFUNCTION("IMPORTRANGE(""https://docs.google.com/spreadsheets/d/1SX6NBoVAgQJ6U1MVXOaj8PK2l7WJ3RER9xtqwdhxkhw/edit?usp=sharing"",""จันทบุรี!I297"")"),40)</f>
        <v>40</v>
      </c>
      <c r="J402" s="371">
        <f ca="1">IFERROR(__xludf.DUMMYFUNCTION("IMPORTRANGE(""https://docs.google.com/spreadsheets/d/1SX6NBoVAgQJ6U1MVXOaj8PK2l7WJ3RER9xtqwdhxkhw/edit?usp=sharing"",""จันทบุรี!J297"")"),40)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IFERROR(__xludf.DUMMYFUNCTION("IMPORTRANGE(""https://docs.google.com/spreadsheets/d/1SX6NBoVAgQJ6U1MVXOaj8PK2l7WJ3RER9xtqwdhxkhw/edit?usp=sharing"",""จันทบุรี!L298"")"),0)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IFERROR(__xludf.DUMMYFUNCTION("IMPORTRANGE(""https://docs.google.com/spreadsheets/d/1SX6NBoVAgQJ6U1MVXOaj8PK2l7WJ3RER9xtqwdhxkhw/edit?usp=sharing"",""จันทบุรี!M298"")"),0)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IFERROR(__xludf.DUMMYFUNCTION("IMPORTRANGE(""https://docs.google.com/spreadsheets/d/1SX6NBoVAgQJ6U1MVXOaj8PK2l7WJ3RER9xtqwdhxkhw/edit?usp=sharing"",""จันทบุรี!L299"")"),144560)</f>
        <v>144560</v>
      </c>
      <c r="M404" s="165"/>
      <c r="N404" s="169">
        <f ca="1">IFERROR(__xludf.DUMMYFUNCTION("IMPORTRANGE(""https://docs.google.com/spreadsheets/d/1SX6NBoVAgQJ6U1MVXOaj8PK2l7WJ3RER9xtqwdhxkhw/edit?usp=sharing"",""จันทบุรี!M299"")"),37745)</f>
        <v>37745</v>
      </c>
      <c r="O404" s="169">
        <f t="shared" ca="1" si="112"/>
        <v>26.110265633646929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IFERROR(__xludf.DUMMYFUNCTION("IMPORTRANGE(""https://docs.google.com/spreadsheets/d/1SX6NBoVAgQJ6U1MVXOaj8PK2l7WJ3RER9xtqwdhxkhw/edit?usp=sharing"",""จันทบุรี!L300"")"),0)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IFERROR(__xludf.DUMMYFUNCTION("IMPORTRANGE(""https://docs.google.com/spreadsheets/d/1SX6NBoVAgQJ6U1MVXOaj8PK2l7WJ3RER9xtqwdhxkhw/edit?usp=sharing"",""จันทบุรี!M300"")"),0)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IFERROR(__xludf.DUMMYFUNCTION("IMPORTRANGE(""https://docs.google.com/spreadsheets/d/1SX6NBoVAgQJ6U1MVXOaj8PK2l7WJ3RER9xtqwdhxkhw/edit?usp=sharing"",""จันทบุรี!L301"")"),144560)</f>
        <v>144560</v>
      </c>
      <c r="M406" s="169"/>
      <c r="N406" s="169">
        <f ca="1">IFERROR(__xludf.DUMMYFUNCTION("IMPORTRANGE(""https://docs.google.com/spreadsheets/d/1SX6NBoVAgQJ6U1MVXOaj8PK2l7WJ3RER9xtqwdhxkhw/edit?usp=sharing"",""จันทบุรี!M301"")"),37745)</f>
        <v>37745</v>
      </c>
      <c r="O406" s="169">
        <f t="shared" ca="1" si="112"/>
        <v>26.110265633646929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IFERROR(__xludf.DUMMYFUNCTION("IMPORTRANGE(""https://docs.google.com/spreadsheets/d/1SX6NBoVAgQJ6U1MVXOaj8PK2l7WJ3RER9xtqwdhxkhw/edit?usp=sharing"",""จันทบุรี!M302"")"),30055)</f>
        <v>30055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IFERROR(__xludf.DUMMYFUNCTION("IMPORTRANGE(""https://docs.google.com/spreadsheets/d/1SX6NBoVAgQJ6U1MVXOaj8PK2l7WJ3RER9xtqwdhxkhw/edit?usp=sharing"",""จันทบุรี!M303"")"),0)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IFERROR(__xludf.DUMMYFUNCTION("IMPORTRANGE(""https://docs.google.com/spreadsheets/d/1SX6NBoVAgQJ6U1MVXOaj8PK2l7WJ3RER9xtqwdhxkhw/edit?usp=sharing"",""จันทบุรี!M304"")"),0)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IFERROR(__xludf.DUMMYFUNCTION("IMPORTRANGE(""https://docs.google.com/spreadsheets/d/1SX6NBoVAgQJ6U1MVXOaj8PK2l7WJ3RER9xtqwdhxkhw/edit?usp=sharing"",""จันทบุรี!M305"")"),7690)</f>
        <v>7690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IFERROR(__xludf.DUMMYFUNCTION("IMPORTRANGE(""https://docs.google.com/spreadsheets/d/1SX6NBoVAgQJ6U1MVXOaj8PK2l7WJ3RER9xtqwdhxkhw/edit?usp=sharing"",""จันทบุรี!J307"")"),0)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IFERROR(__xludf.DUMMYFUNCTION("IMPORTRANGE(""https://docs.google.com/spreadsheets/d/1SX6NBoVAgQJ6U1MVXOaj8PK2l7WJ3RER9xtqwdhxkhw/edit?usp=sharing"",""จันทบุรี!J308"")"),1)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IFERROR(__xludf.DUMMYFUNCTION("IMPORTRANGE(""https://docs.google.com/spreadsheets/d/1SX6NBoVAgQJ6U1MVXOaj8PK2l7WJ3RER9xtqwdhxkhw/edit?usp=sharing"",""จันทบุรี!J309"")"),1)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IFERROR(__xludf.DUMMYFUNCTION("IMPORTRANGE(""https://docs.google.com/spreadsheets/d/1SX6NBoVAgQJ6U1MVXOaj8PK2l7WJ3RER9xtqwdhxkhw/edit?usp=sharing"",""จันทบุรี!J310"")"),1)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IFERROR(__xludf.DUMMYFUNCTION("IMPORTRANGE(""https://docs.google.com/spreadsheets/d/1SX6NBoVAgQJ6U1MVXOaj8PK2l7WJ3RER9xtqwdhxkhw/edit?usp=sharing"",""จันทบุรี!I311"")"),40)</f>
        <v>40</v>
      </c>
      <c r="J416" s="201">
        <f ca="1">IFERROR(__xludf.DUMMYFUNCTION("IMPORTRANGE(""https://docs.google.com/spreadsheets/d/1SX6NBoVAgQJ6U1MVXOaj8PK2l7WJ3RER9xtqwdhxkhw/edit?usp=sharing"",""จันทบุรี!J311"")"),40)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IFERROR(__xludf.DUMMYFUNCTION("IMPORTRANGE(""https://docs.google.com/spreadsheets/d/1SX6NBoVAgQJ6U1MVXOaj8PK2l7WJ3RER9xtqwdhxkhw/edit?usp=sharing"",""จันทบุรี!I312"")"),10)</f>
        <v>10</v>
      </c>
      <c r="J417" s="392">
        <f ca="1">IFERROR(__xludf.DUMMYFUNCTION("IMPORTRANGE(""https://docs.google.com/spreadsheets/d/1SX6NBoVAgQJ6U1MVXOaj8PK2l7WJ3RER9xtqwdhxkhw/edit?usp=sharing"",""จันทบุรี!J312"")"),10)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IFERROR(__xludf.DUMMYFUNCTION("IMPORTRANGE(""https://docs.google.com/spreadsheets/d/1SX6NBoVAgQJ6U1MVXOaj8PK2l7WJ3RER9xtqwdhxkhw/edit?usp=sharing"",""จันทบุรี!I313"")"),30)</f>
        <v>30</v>
      </c>
      <c r="J418" s="393">
        <f ca="1">IFERROR(__xludf.DUMMYFUNCTION("IMPORTRANGE(""https://docs.google.com/spreadsheets/d/1SX6NBoVAgQJ6U1MVXOaj8PK2l7WJ3RER9xtqwdhxkhw/edit?usp=sharing"",""จันทบุรี!J313"")"),30)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IFERROR(__xludf.DUMMYFUNCTION("IMPORTRANGE(""https://docs.google.com/spreadsheets/d/1SX6NBoVAgQJ6U1MVXOaj8PK2l7WJ3RER9xtqwdhxkhw/edit?usp=sharing"",""จันทบุรี!I314"")"),10)</f>
        <v>10</v>
      </c>
      <c r="J419" s="394">
        <f ca="1">IFERROR(__xludf.DUMMYFUNCTION("IMPORTRANGE(""https://docs.google.com/spreadsheets/d/1SX6NBoVAgQJ6U1MVXOaj8PK2l7WJ3RER9xtqwdhxkhw/edit?usp=sharing"",""จันทบุรี!J314"")"),10)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IFERROR(__xludf.DUMMYFUNCTION("IMPORTRANGE(""https://docs.google.com/spreadsheets/d/1SX6NBoVAgQJ6U1MVXOaj8PK2l7WJ3RER9xtqwdhxkhw/edit?usp=sharing"",""จันทบุรี!I315"")"),10)</f>
        <v>10</v>
      </c>
      <c r="J420" s="394">
        <f ca="1">IFERROR(__xludf.DUMMYFUNCTION("IMPORTRANGE(""https://docs.google.com/spreadsheets/d/1SX6NBoVAgQJ6U1MVXOaj8PK2l7WJ3RER9xtqwdhxkhw/edit?usp=sharing"",""จันทบุรี!J315"")"),10)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IFERROR(__xludf.DUMMYFUNCTION("IMPORTRANGE(""https://docs.google.com/spreadsheets/d/1SX6NBoVAgQJ6U1MVXOaj8PK2l7WJ3RER9xtqwdhxkhw/edit?usp=sharing"",""จันทบุรี!I316"")"),20)</f>
        <v>20</v>
      </c>
      <c r="J421" s="392">
        <f ca="1">IFERROR(__xludf.DUMMYFUNCTION("IMPORTRANGE(""https://docs.google.com/spreadsheets/d/1SX6NBoVAgQJ6U1MVXOaj8PK2l7WJ3RER9xtqwdhxkhw/edit?usp=sharing"",""จันทบุรี!J316"")"),20)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IFERROR(__xludf.DUMMYFUNCTION("IMPORTRANGE(""https://docs.google.com/spreadsheets/d/1SX6NBoVAgQJ6U1MVXOaj8PK2l7WJ3RER9xtqwdhxkhw/edit?usp=sharing"",""จันทบุรี!I317"")"),60)</f>
        <v>60</v>
      </c>
      <c r="J422" s="393">
        <f ca="1">IFERROR(__xludf.DUMMYFUNCTION("IMPORTRANGE(""https://docs.google.com/spreadsheets/d/1SX6NBoVAgQJ6U1MVXOaj8PK2l7WJ3RER9xtqwdhxkhw/edit?usp=sharing"",""จันทบุรี!J317"")"),60)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IFERROR(__xludf.DUMMYFUNCTION("IMPORTRANGE(""https://docs.google.com/spreadsheets/d/1SX6NBoVAgQJ6U1MVXOaj8PK2l7WJ3RER9xtqwdhxkhw/edit?usp=sharing"",""จันทบุรี!I318"")"),20)</f>
        <v>20</v>
      </c>
      <c r="J423" s="394">
        <f ca="1">IFERROR(__xludf.DUMMYFUNCTION("IMPORTRANGE(""https://docs.google.com/spreadsheets/d/1SX6NBoVAgQJ6U1MVXOaj8PK2l7WJ3RER9xtqwdhxkhw/edit?usp=sharing"",""จันทบุรี!J318"")"),20)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IFERROR(__xludf.DUMMYFUNCTION("IMPORTRANGE(""https://docs.google.com/spreadsheets/d/1SX6NBoVAgQJ6U1MVXOaj8PK2l7WJ3RER9xtqwdhxkhw/edit?usp=sharing"",""จันทบุรี!I319"")"),20)</f>
        <v>20</v>
      </c>
      <c r="J424" s="394">
        <f ca="1">IFERROR(__xludf.DUMMYFUNCTION("IMPORTRANGE(""https://docs.google.com/spreadsheets/d/1SX6NBoVAgQJ6U1MVXOaj8PK2l7WJ3RER9xtqwdhxkhw/edit?usp=sharing"",""จันทบุรี!J319"")"),20)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IFERROR(__xludf.DUMMYFUNCTION("IMPORTRANGE(""https://docs.google.com/spreadsheets/d/1SX6NBoVAgQJ6U1MVXOaj8PK2l7WJ3RER9xtqwdhxkhw/edit?usp=sharing"",""จันทบุรี!I320"")"),20)</f>
        <v>20</v>
      </c>
      <c r="J425" s="394">
        <f ca="1">IFERROR(__xludf.DUMMYFUNCTION("IMPORTRANGE(""https://docs.google.com/spreadsheets/d/1SX6NBoVAgQJ6U1MVXOaj8PK2l7WJ3RER9xtqwdhxkhw/edit?usp=sharing"",""จันทบุรี!J320"")"),20)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IFERROR(__xludf.DUMMYFUNCTION("IMPORTRANGE(""https://docs.google.com/spreadsheets/d/1SX6NBoVAgQJ6U1MVXOaj8PK2l7WJ3RER9xtqwdhxkhw/edit?usp=sharing"",""จันทบุรี!I321"")"),10)</f>
        <v>10</v>
      </c>
      <c r="J426" s="392">
        <f ca="1">IFERROR(__xludf.DUMMYFUNCTION("IMPORTRANGE(""https://docs.google.com/spreadsheets/d/1SX6NBoVAgQJ6U1MVXOaj8PK2l7WJ3RER9xtqwdhxkhw/edit?usp=sharing"",""จันทบุรี!J321"")"),10)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IFERROR(__xludf.DUMMYFUNCTION("IMPORTRANGE(""https://docs.google.com/spreadsheets/d/1SX6NBoVAgQJ6U1MVXOaj8PK2l7WJ3RER9xtqwdhxkhw/edit?usp=sharing"",""จันทบุรี!I322"")"),30)</f>
        <v>30</v>
      </c>
      <c r="J427" s="393">
        <f ca="1">IFERROR(__xludf.DUMMYFUNCTION("IMPORTRANGE(""https://docs.google.com/spreadsheets/d/1SX6NBoVAgQJ6U1MVXOaj8PK2l7WJ3RER9xtqwdhxkhw/edit?usp=sharing"",""จันทบุรี!J322"")"),30)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IFERROR(__xludf.DUMMYFUNCTION("IMPORTRANGE(""https://docs.google.com/spreadsheets/d/1SX6NBoVAgQJ6U1MVXOaj8PK2l7WJ3RER9xtqwdhxkhw/edit?usp=sharing"",""จันทบุรี!I323"")"),10)</f>
        <v>10</v>
      </c>
      <c r="J428" s="394">
        <f ca="1">IFERROR(__xludf.DUMMYFUNCTION("IMPORTRANGE(""https://docs.google.com/spreadsheets/d/1SX6NBoVAgQJ6U1MVXOaj8PK2l7WJ3RER9xtqwdhxkhw/edit?usp=sharing"",""จันทบุรี!J323"")"),10)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IFERROR(__xludf.DUMMYFUNCTION("IMPORTRANGE(""https://docs.google.com/spreadsheets/d/1SX6NBoVAgQJ6U1MVXOaj8PK2l7WJ3RER9xtqwdhxkhw/edit?usp=sharing"",""จันทบุรี!I324"")"),10)</f>
        <v>10</v>
      </c>
      <c r="J429" s="394">
        <f ca="1">IFERROR(__xludf.DUMMYFUNCTION("IMPORTRANGE(""https://docs.google.com/spreadsheets/d/1SX6NBoVAgQJ6U1MVXOaj8PK2l7WJ3RER9xtqwdhxkhw/edit?usp=sharing"",""จันทบุรี!J324"")"),10)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IFERROR(__xludf.DUMMYFUNCTION("IMPORTRANGE(""https://docs.google.com/spreadsheets/d/1SX6NBoVAgQJ6U1MVXOaj8PK2l7WJ3RER9xtqwdhxkhw/edit?usp=sharing"",""จันทบุรี!I325"")"),30)</f>
        <v>30</v>
      </c>
      <c r="J430" s="392">
        <f ca="1">IFERROR(__xludf.DUMMYFUNCTION("IMPORTRANGE(""https://docs.google.com/spreadsheets/d/1SX6NBoVAgQJ6U1MVXOaj8PK2l7WJ3RER9xtqwdhxkhw/edit?usp=sharing"",""จันทบุรี!J325"")"),0)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IFERROR(__xludf.DUMMYFUNCTION("IMPORTRANGE(""https://docs.google.com/spreadsheets/d/1SX6NBoVAgQJ6U1MVXOaj8PK2l7WJ3RER9xtqwdhxkhw/edit?usp=sharing"",""จันทบุรี!I326"")"),10)</f>
        <v>10</v>
      </c>
      <c r="J431" s="394">
        <f ca="1">IFERROR(__xludf.DUMMYFUNCTION("IMPORTRANGE(""https://docs.google.com/spreadsheets/d/1SX6NBoVAgQJ6U1MVXOaj8PK2l7WJ3RER9xtqwdhxkhw/edit?usp=sharing"",""จันทบุรี!J326"")"),0)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IFERROR(__xludf.DUMMYFUNCTION("IMPORTRANGE(""https://docs.google.com/spreadsheets/d/1SX6NBoVAgQJ6U1MVXOaj8PK2l7WJ3RER9xtqwdhxkhw/edit?usp=sharing"",""จันทบุรี!I327"")"),20)</f>
        <v>20</v>
      </c>
      <c r="J432" s="394">
        <f ca="1">IFERROR(__xludf.DUMMYFUNCTION("IMPORTRANGE(""https://docs.google.com/spreadsheets/d/1SX6NBoVAgQJ6U1MVXOaj8PK2l7WJ3RER9xtqwdhxkhw/edit?usp=sharing"",""จันทบุรี!J327"")"),0)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IFERROR(__xludf.DUMMYFUNCTION("IMPORTRANGE(""https://docs.google.com/spreadsheets/d/1SX6NBoVAgQJ6U1MVXOaj8PK2l7WJ3RER9xtqwdhxkhw/edit?usp=sharing"",""จันทบุรี!J328"")"),0)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IFERROR(__xludf.DUMMYFUNCTION("IMPORTRANGE(""https://docs.google.com/spreadsheets/d/1SX6NBoVAgQJ6U1MVXOaj8PK2l7WJ3RER9xtqwdhxkhw/edit?usp=sharing"",""จันทบุรี!J329"")"),0)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IFERROR(__xludf.DUMMYFUNCTION("IMPORTRANGE(""https://docs.google.com/spreadsheets/d/1SX6NBoVAgQJ6U1MVXOaj8PK2l7WJ3RER9xtqwdhxkhw/edit?usp=sharing"",""จันทบุรี!I330"")"),20)</f>
        <v>20</v>
      </c>
      <c r="J435" s="410">
        <f ca="1">IFERROR(__xludf.DUMMYFUNCTION("IMPORTRANGE(""https://docs.google.com/spreadsheets/d/1SX6NBoVAgQJ6U1MVXOaj8PK2l7WJ3RER9xtqwdhxkhw/edit?usp=sharing"",""จันทบุรี!J330"")"),20)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IFERROR(__xludf.DUMMYFUNCTION("IMPORTRANGE(""https://docs.google.com/spreadsheets/d/1SX6NBoVAgQJ6U1MVXOaj8PK2l7WJ3RER9xtqwdhxkhw/edit?usp=sharing"",""จันทบุรี!L330"")"),100000)</f>
        <v>100000</v>
      </c>
      <c r="M435" s="412"/>
      <c r="N435" s="412">
        <f ca="1">IFERROR(__xludf.DUMMYFUNCTION("IMPORTRANGE(""https://docs.google.com/spreadsheets/d/1SX6NBoVAgQJ6U1MVXOaj8PK2l7WJ3RER9xtqwdhxkhw/edit?usp=sharing"",""จันทบุรี!M330"")"),100000)</f>
        <v>100000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IFERROR(__xludf.DUMMYFUNCTION("IMPORTRANGE(""https://docs.google.com/spreadsheets/d/1SX6NBoVAgQJ6U1MVXOaj8PK2l7WJ3RER9xtqwdhxkhw/edit?usp=sharing"",""จันทบุรี!L331"")"),0)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IFERROR(__xludf.DUMMYFUNCTION("IMPORTRANGE(""https://docs.google.com/spreadsheets/d/1SX6NBoVAgQJ6U1MVXOaj8PK2l7WJ3RER9xtqwdhxkhw/edit?usp=sharing"",""จันทบุรี!M331"")"),0)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IFERROR(__xludf.DUMMYFUNCTION("IMPORTRANGE(""https://docs.google.com/spreadsheets/d/1SX6NBoVAgQJ6U1MVXOaj8PK2l7WJ3RER9xtqwdhxkhw/edit?usp=sharing"",""จันทบุรี!L332"")"),100000)</f>
        <v>100000</v>
      </c>
      <c r="M437" s="165"/>
      <c r="N437" s="169">
        <f ca="1">IFERROR(__xludf.DUMMYFUNCTION("IMPORTRANGE(""https://docs.google.com/spreadsheets/d/1SX6NBoVAgQJ6U1MVXOaj8PK2l7WJ3RER9xtqwdhxkhw/edit?usp=sharing"",""จันทบุรี!M332"")"),100000)</f>
        <v>100000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IFERROR(__xludf.DUMMYFUNCTION("IMPORTRANGE(""https://docs.google.com/spreadsheets/d/1SX6NBoVAgQJ6U1MVXOaj8PK2l7WJ3RER9xtqwdhxkhw/edit?usp=sharing"",""จันทบุรี!L333"")"),0)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IFERROR(__xludf.DUMMYFUNCTION("IMPORTRANGE(""https://docs.google.com/spreadsheets/d/1SX6NBoVAgQJ6U1MVXOaj8PK2l7WJ3RER9xtqwdhxkhw/edit?usp=sharing"",""จันทบุรี!M333"")"),0)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IFERROR(__xludf.DUMMYFUNCTION("IMPORTRANGE(""https://docs.google.com/spreadsheets/d/1SX6NBoVAgQJ6U1MVXOaj8PK2l7WJ3RER9xtqwdhxkhw/edit?usp=sharing"",""จันทบุรี!L334"")"),100000)</f>
        <v>100000</v>
      </c>
      <c r="M439" s="169"/>
      <c r="N439" s="169">
        <f ca="1">IFERROR(__xludf.DUMMYFUNCTION("IMPORTRANGE(""https://docs.google.com/spreadsheets/d/1SX6NBoVAgQJ6U1MVXOaj8PK2l7WJ3RER9xtqwdhxkhw/edit?usp=sharing"",""จันทบุรี!M334"")"),100000)</f>
        <v>100000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IFERROR(__xludf.DUMMYFUNCTION("IMPORTRANGE(""https://docs.google.com/spreadsheets/d/1SX6NBoVAgQJ6U1MVXOaj8PK2l7WJ3RER9xtqwdhxkhw/edit?usp=sharing"",""จันทบุรี!M335"")"),44200)</f>
        <v>44200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IFERROR(__xludf.DUMMYFUNCTION("IMPORTRANGE(""https://docs.google.com/spreadsheets/d/1SX6NBoVAgQJ6U1MVXOaj8PK2l7WJ3RER9xtqwdhxkhw/edit?usp=sharing"",""จันทบุรี!M336"")"),0)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IFERROR(__xludf.DUMMYFUNCTION("IMPORTRANGE(""https://docs.google.com/spreadsheets/d/1SX6NBoVAgQJ6U1MVXOaj8PK2l7WJ3RER9xtqwdhxkhw/edit?usp=sharing"",""จันทบุรี!M337"")"),0)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IFERROR(__xludf.DUMMYFUNCTION("IMPORTRANGE(""https://docs.google.com/spreadsheets/d/1SX6NBoVAgQJ6U1MVXOaj8PK2l7WJ3RER9xtqwdhxkhw/edit?usp=sharing"",""จันทบุรี!M338"")"),55800)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IFERROR(__xludf.DUMMYFUNCTION("IMPORTRANGE(""https://docs.google.com/spreadsheets/d/1SX6NBoVAgQJ6U1MVXOaj8PK2l7WJ3RER9xtqwdhxkhw/edit?usp=sharing"",""จันทบุรี!J340"")"),0)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IFERROR(__xludf.DUMMYFUNCTION("IMPORTRANGE(""https://docs.google.com/spreadsheets/d/1SX6NBoVAgQJ6U1MVXOaj8PK2l7WJ3RER9xtqwdhxkhw/edit?usp=sharing"",""จันทบุรี!J341"")"),1)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IFERROR(__xludf.DUMMYFUNCTION("IMPORTRANGE(""https://docs.google.com/spreadsheets/d/1SX6NBoVAgQJ6U1MVXOaj8PK2l7WJ3RER9xtqwdhxkhw/edit?usp=sharing"",""จันทบุรี!J342"")"),1)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IFERROR(__xludf.DUMMYFUNCTION("IMPORTRANGE(""https://docs.google.com/spreadsheets/d/1SX6NBoVAgQJ6U1MVXOaj8PK2l7WJ3RER9xtqwdhxkhw/edit?usp=sharing"",""จันทบุรี!J343"")"),1)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IFERROR(__xludf.DUMMYFUNCTION("IMPORTRANGE(""https://docs.google.com/spreadsheets/d/1SX6NBoVAgQJ6U1MVXOaj8PK2l7WJ3RER9xtqwdhxkhw/edit?usp=sharing"",""จันทบุรี!I344"")"),20)</f>
        <v>20</v>
      </c>
      <c r="J449" s="201">
        <f ca="1">IFERROR(__xludf.DUMMYFUNCTION("IMPORTRANGE(""https://docs.google.com/spreadsheets/d/1SX6NBoVAgQJ6U1MVXOaj8PK2l7WJ3RER9xtqwdhxkhw/edit?usp=sharing"",""จันทบุรี!J344"")"),20)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IFERROR(__xludf.DUMMYFUNCTION("IMPORTRANGE(""https://docs.google.com/spreadsheets/d/1SX6NBoVAgQJ6U1MVXOaj8PK2l7WJ3RER9xtqwdhxkhw/edit?usp=sharing"",""จันทบุรี!I345"")"),20)</f>
        <v>20</v>
      </c>
      <c r="J450" s="189">
        <f ca="1">IFERROR(__xludf.DUMMYFUNCTION("IMPORTRANGE(""https://docs.google.com/spreadsheets/d/1SX6NBoVAgQJ6U1MVXOaj8PK2l7WJ3RER9xtqwdhxkhw/edit?usp=sharing"",""จันทบุรี!J345"")"),20)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IFERROR(__xludf.DUMMYFUNCTION("IMPORTRANGE(""https://docs.google.com/spreadsheets/d/1SX6NBoVAgQJ6U1MVXOaj8PK2l7WJ3RER9xtqwdhxkhw/edit?usp=sharing"",""จันทบุรี!I346"")"),0)</f>
        <v>0</v>
      </c>
      <c r="J451" s="188">
        <f ca="1">IFERROR(__xludf.DUMMYFUNCTION("IMPORTRANGE(""https://docs.google.com/spreadsheets/d/1SX6NBoVAgQJ6U1MVXOaj8PK2l7WJ3RER9xtqwdhxkhw/edit?usp=sharing"",""จันทบุรี!J346"")"),0)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IFERROR(__xludf.DUMMYFUNCTION("IMPORTRANGE(""https://docs.google.com/spreadsheets/d/1SX6NBoVAgQJ6U1MVXOaj8PK2l7WJ3RER9xtqwdhxkhw/edit?usp=sharing"",""จันทบุรี!I347"")"),0)</f>
        <v>0</v>
      </c>
      <c r="J452" s="188">
        <f ca="1">IFERROR(__xludf.DUMMYFUNCTION("IMPORTRANGE(""https://docs.google.com/spreadsheets/d/1SX6NBoVAgQJ6U1MVXOaj8PK2l7WJ3RER9xtqwdhxkhw/edit?usp=sharing"",""จันทบุรี!J347"")"),0)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IFERROR(__xludf.DUMMYFUNCTION("IMPORTRANGE(""https://docs.google.com/spreadsheets/d/1SX6NBoVAgQJ6U1MVXOaj8PK2l7WJ3RER9xtqwdhxkhw/edit?usp=sharing"",""จันทบุรี!J348"")"),0)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IFERROR(__xludf.DUMMYFUNCTION("IMPORTRANGE(""https://docs.google.com/spreadsheets/d/1SX6NBoVAgQJ6U1MVXOaj8PK2l7WJ3RER9xtqwdhxkhw/edit?usp=sharing"",""จันทบุรี!J349"")"),0)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IFERROR(__xludf.DUMMYFUNCTION("IMPORTRANGE(""https://docs.google.com/spreadsheets/d/1SX6NBoVAgQJ6U1MVXOaj8PK2l7WJ3RER9xtqwdhxkhw/edit?usp=sharing"",""จันทบุรี!I350"")"),18211)</f>
        <v>18211</v>
      </c>
      <c r="J455" s="371">
        <f ca="1">IFERROR(__xludf.DUMMYFUNCTION("IMPORTRANGE(""https://docs.google.com/spreadsheets/d/1SX6NBoVAgQJ6U1MVXOaj8PK2l7WJ3RER9xtqwdhxkhw/edit?usp=sharing"",""จันทบุรี!J350"")"),11708)</f>
        <v>11708</v>
      </c>
      <c r="K455" s="372">
        <f ca="1">IF(I455&gt;0,J455*100/I455,0)</f>
        <v>64.290813244742182</v>
      </c>
      <c r="L455" s="373">
        <f ca="1">IFERROR(__xludf.DUMMYFUNCTION("IMPORTRANGE(""https://docs.google.com/spreadsheets/d/1SX6NBoVAgQJ6U1MVXOaj8PK2l7WJ3RER9xtqwdhxkhw/edit?usp=sharing"",""จันทบุรี!L350"")"),162553)</f>
        <v>162553</v>
      </c>
      <c r="M455" s="373"/>
      <c r="N455" s="373">
        <f ca="1">IFERROR(__xludf.DUMMYFUNCTION("IMPORTRANGE(""https://docs.google.com/spreadsheets/d/1SX6NBoVAgQJ6U1MVXOaj8PK2l7WJ3RER9xtqwdhxkhw/edit?usp=sharing"",""จันทบุรี!M350"")"),51380)</f>
        <v>51380</v>
      </c>
      <c r="O455" s="373">
        <f t="shared" ref="O455:O459" ca="1" si="116">+IF(L455&gt;0,N455*100/L455,0)</f>
        <v>31.608152417980598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IFERROR(__xludf.DUMMYFUNCTION("IMPORTRANGE(""https://docs.google.com/spreadsheets/d/1SX6NBoVAgQJ6U1MVXOaj8PK2l7WJ3RER9xtqwdhxkhw/edit?usp=sharing"",""จันทบุรี!L351"")"),0)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IFERROR(__xludf.DUMMYFUNCTION("IMPORTRANGE(""https://docs.google.com/spreadsheets/d/1SX6NBoVAgQJ6U1MVXOaj8PK2l7WJ3RER9xtqwdhxkhw/edit?usp=sharing"",""จันทบุรี!M351"")"),0)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IFERROR(__xludf.DUMMYFUNCTION("IMPORTRANGE(""https://docs.google.com/spreadsheets/d/1SX6NBoVAgQJ6U1MVXOaj8PK2l7WJ3RER9xtqwdhxkhw/edit?usp=sharing"",""จันทบุรี!L352"")"),162553)</f>
        <v>162553</v>
      </c>
      <c r="M457" s="165"/>
      <c r="N457" s="169">
        <f ca="1">IFERROR(__xludf.DUMMYFUNCTION("IMPORTRANGE(""https://docs.google.com/spreadsheets/d/1SX6NBoVAgQJ6U1MVXOaj8PK2l7WJ3RER9xtqwdhxkhw/edit?usp=sharing"",""จันทบุรี!M352"")"),51380)</f>
        <v>51380</v>
      </c>
      <c r="O457" s="169">
        <f t="shared" ca="1" si="116"/>
        <v>31.608152417980598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IFERROR(__xludf.DUMMYFUNCTION("IMPORTRANGE(""https://docs.google.com/spreadsheets/d/1SX6NBoVAgQJ6U1MVXOaj8PK2l7WJ3RER9xtqwdhxkhw/edit?usp=sharing"",""จันทบุรี!L353"")"),0)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IFERROR(__xludf.DUMMYFUNCTION("IMPORTRANGE(""https://docs.google.com/spreadsheets/d/1SX6NBoVAgQJ6U1MVXOaj8PK2l7WJ3RER9xtqwdhxkhw/edit?usp=sharing"",""จันทบุรี!M353"")"),0)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IFERROR(__xludf.DUMMYFUNCTION("IMPORTRANGE(""https://docs.google.com/spreadsheets/d/1SX6NBoVAgQJ6U1MVXOaj8PK2l7WJ3RER9xtqwdhxkhw/edit?usp=sharing"",""จันทบุรี!L354"")"),162553)</f>
        <v>162553</v>
      </c>
      <c r="M459" s="169"/>
      <c r="N459" s="169">
        <f ca="1">IFERROR(__xludf.DUMMYFUNCTION("IMPORTRANGE(""https://docs.google.com/spreadsheets/d/1SX6NBoVAgQJ6U1MVXOaj8PK2l7WJ3RER9xtqwdhxkhw/edit?usp=sharing"",""จันทบุรี!M354"")"),51380)</f>
        <v>51380</v>
      </c>
      <c r="O459" s="169">
        <f t="shared" ca="1" si="116"/>
        <v>31.608152417980598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IFERROR(__xludf.DUMMYFUNCTION("IMPORTRANGE(""https://docs.google.com/spreadsheets/d/1SX6NBoVAgQJ6U1MVXOaj8PK2l7WJ3RER9xtqwdhxkhw/edit?usp=sharing"",""จันทบุรี!M355"")"),0)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IFERROR(__xludf.DUMMYFUNCTION("IMPORTRANGE(""https://docs.google.com/spreadsheets/d/1SX6NBoVAgQJ6U1MVXOaj8PK2l7WJ3RER9xtqwdhxkhw/edit?usp=sharing"",""จันทบุรี!M356"")"),0)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IFERROR(__xludf.DUMMYFUNCTION("IMPORTRANGE(""https://docs.google.com/spreadsheets/d/1SX6NBoVAgQJ6U1MVXOaj8PK2l7WJ3RER9xtqwdhxkhw/edit?usp=sharing"",""จันทบุรี!M357"")"),0)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IFERROR(__xludf.DUMMYFUNCTION("IMPORTRANGE(""https://docs.google.com/spreadsheets/d/1SX6NBoVAgQJ6U1MVXOaj8PK2l7WJ3RER9xtqwdhxkhw/edit?usp=sharing"",""จันทบุรี!M358"")"),51380)</f>
        <v>51380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IFERROR(__xludf.DUMMYFUNCTION("IMPORTRANGE(""https://docs.google.com/spreadsheets/d/1SX6NBoVAgQJ6U1MVXOaj8PK2l7WJ3RER9xtqwdhxkhw/edit?usp=sharing"",""จันทบุรี!I359"")"),18211)</f>
        <v>18211</v>
      </c>
      <c r="J464" s="268">
        <f ca="1">IFERROR(__xludf.DUMMYFUNCTION("IMPORTRANGE(""https://docs.google.com/spreadsheets/d/1SX6NBoVAgQJ6U1MVXOaj8PK2l7WJ3RER9xtqwdhxkhw/edit?usp=sharing"",""จันทบุรี!J359"")"),11708)</f>
        <v>11708</v>
      </c>
      <c r="K464" s="269">
        <f t="shared" ref="K464:K515" ca="1" si="117">IF(I464&gt;0,J464*100/I464,0)</f>
        <v>64.290813244742182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IFERROR(__xludf.DUMMYFUNCTION("IMPORTRANGE(""https://docs.google.com/spreadsheets/d/1SX6NBoVAgQJ6U1MVXOaj8PK2l7WJ3RER9xtqwdhxkhw/edit?usp=sharing"",""จันทบุรี!I360"")"),18211)</f>
        <v>18211</v>
      </c>
      <c r="J465" s="420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2">
        <f t="shared" ca="1" si="117"/>
        <v>99.998572291471632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IFERROR(__xludf.DUMMYFUNCTION("IMPORTRANGE(""https://docs.google.com/spreadsheets/d/1SX6NBoVAgQJ6U1MVXOaj8PK2l7WJ3RER9xtqwdhxkhw/edit?usp=sharing"",""จันทบุรี!I361"")"),1421)</f>
        <v>1421</v>
      </c>
      <c r="J466" s="420">
        <f ca="1">IFERROR(__xludf.DUMMYFUNCTION("IMPORTRANGE(""https://docs.google.com/spreadsheets/d/1SX6NBoVAgQJ6U1MVXOaj8PK2l7WJ3RER9xtqwdhxkhw/edit?usp=sharing"",""จันทบุรี!J361"")"),1421)</f>
        <v>1421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IFERROR(__xludf.DUMMYFUNCTION("IMPORTRANGE(""https://docs.google.com/spreadsheets/d/1SX6NBoVAgQJ6U1MVXOaj8PK2l7WJ3RER9xtqwdhxkhw/edit?usp=sharing"",""จันทบุรี!I362"")"),0)</f>
        <v>0</v>
      </c>
      <c r="J467" s="189">
        <f ca="1">IFERROR(__xludf.DUMMYFUNCTION("IMPORTRANGE(""https://docs.google.com/spreadsheets/d/1SX6NBoVAgQJ6U1MVXOaj8PK2l7WJ3RER9xtqwdhxkhw/edit?usp=sharing"",""จันทบุรี!J362"")"),11017)</f>
        <v>11017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IFERROR(__xludf.DUMMYFUNCTION("IMPORTRANGE(""https://docs.google.com/spreadsheets/d/1SX6NBoVAgQJ6U1MVXOaj8PK2l7WJ3RER9xtqwdhxkhw/edit?usp=sharing"",""จันทบุรี!I363"")"),0)</f>
        <v>0</v>
      </c>
      <c r="J468" s="189">
        <f ca="1">IFERROR(__xludf.DUMMYFUNCTION("IMPORTRANGE(""https://docs.google.com/spreadsheets/d/1SX6NBoVAgQJ6U1MVXOaj8PK2l7WJ3RER9xtqwdhxkhw/edit?usp=sharing"",""จันทบุรี!J363"")"),883)</f>
        <v>883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IFERROR(__xludf.DUMMYFUNCTION("IMPORTRANGE(""https://docs.google.com/spreadsheets/d/1SX6NBoVAgQJ6U1MVXOaj8PK2l7WJ3RER9xtqwdhxkhw/edit?usp=sharing"",""จันทบุรี!I364"")"),0)</f>
        <v>0</v>
      </c>
      <c r="J469" s="189">
        <f ca="1">IFERROR(__xludf.DUMMYFUNCTION("IMPORTRANGE(""https://docs.google.com/spreadsheets/d/1SX6NBoVAgQJ6U1MVXOaj8PK2l7WJ3RER9xtqwdhxkhw/edit?usp=sharing"",""จันทบุรี!J364"")"),6212.74)</f>
        <v>6212.74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IFERROR(__xludf.DUMMYFUNCTION("IMPORTRANGE(""https://docs.google.com/spreadsheets/d/1SX6NBoVAgQJ6U1MVXOaj8PK2l7WJ3RER9xtqwdhxkhw/edit?usp=sharing"",""จันทบุรี!I365"")"),0)</f>
        <v>0</v>
      </c>
      <c r="J470" s="189">
        <f ca="1">IFERROR(__xludf.DUMMYFUNCTION("IMPORTRANGE(""https://docs.google.com/spreadsheets/d/1SX6NBoVAgQJ6U1MVXOaj8PK2l7WJ3RER9xtqwdhxkhw/edit?usp=sharing"",""จันทบุรี!J365"")"),447)</f>
        <v>447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IFERROR(__xludf.DUMMYFUNCTION("IMPORTRANGE(""https://docs.google.com/spreadsheets/d/1SX6NBoVAgQJ6U1MVXOaj8PK2l7WJ3RER9xtqwdhxkhw/edit?usp=sharing"",""จันทบุรี!I366"")"),0)</f>
        <v>0</v>
      </c>
      <c r="J471" s="189">
        <f ca="1">IFERROR(__xludf.DUMMYFUNCTION("IMPORTRANGE(""https://docs.google.com/spreadsheets/d/1SX6NBoVAgQJ6U1MVXOaj8PK2l7WJ3RER9xtqwdhxkhw/edit?usp=sharing"",""จันทบุรี!J366"")"),981)</f>
        <v>981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IFERROR(__xludf.DUMMYFUNCTION("IMPORTRANGE(""https://docs.google.com/spreadsheets/d/1SX6NBoVAgQJ6U1MVXOaj8PK2l7WJ3RER9xtqwdhxkhw/edit?usp=sharing"",""จันทบุรี!I367"")"),0)</f>
        <v>0</v>
      </c>
      <c r="J472" s="189">
        <f ca="1">IFERROR(__xludf.DUMMYFUNCTION("IMPORTRANGE(""https://docs.google.com/spreadsheets/d/1SX6NBoVAgQJ6U1MVXOaj8PK2l7WJ3RER9xtqwdhxkhw/edit?usp=sharing"",""จันทบุรี!J367"")"),91)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IFERROR(__xludf.DUMMYFUNCTION("IMPORTRANGE(""https://docs.google.com/spreadsheets/d/1SX6NBoVAgQJ6U1MVXOaj8PK2l7WJ3RER9xtqwdhxkhw/edit?usp=sharing"",""จันทบุรี!I368"")"),18211)</f>
        <v>18211</v>
      </c>
      <c r="J473" s="420">
        <f ca="1">IFERROR(__xludf.DUMMYFUNCTION("IMPORTRANGE(""https://docs.google.com/spreadsheets/d/1SX6NBoVAgQJ6U1MVXOaj8PK2l7WJ3RER9xtqwdhxkhw/edit?usp=sharing"",""จันทบุรี!J368"")"),18211)</f>
        <v>18211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IFERROR(__xludf.DUMMYFUNCTION("IMPORTRANGE(""https://docs.google.com/spreadsheets/d/1SX6NBoVAgQJ6U1MVXOaj8PK2l7WJ3RER9xtqwdhxkhw/edit?usp=sharing"",""จันทบุรี!I369"")"),1421)</f>
        <v>1421</v>
      </c>
      <c r="J474" s="420">
        <f ca="1">IFERROR(__xludf.DUMMYFUNCTION("IMPORTRANGE(""https://docs.google.com/spreadsheets/d/1SX6NBoVAgQJ6U1MVXOaj8PK2l7WJ3RER9xtqwdhxkhw/edit?usp=sharing"",""จันทบุรี!J369"")"),1421)</f>
        <v>1421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IFERROR(__xludf.DUMMYFUNCTION("IMPORTRANGE(""https://docs.google.com/spreadsheets/d/1SX6NBoVAgQJ6U1MVXOaj8PK2l7WJ3RER9xtqwdhxkhw/edit?usp=sharing"",""จันทบุรี!I370"")"),0)</f>
        <v>0</v>
      </c>
      <c r="J475" s="189">
        <f ca="1">IFERROR(__xludf.DUMMYFUNCTION("IMPORTRANGE(""https://docs.google.com/spreadsheets/d/1SX6NBoVAgQJ6U1MVXOaj8PK2l7WJ3RER9xtqwdhxkhw/edit?usp=sharing"",""จันทบุรี!J370"")"),11154)</f>
        <v>11154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IFERROR(__xludf.DUMMYFUNCTION("IMPORTRANGE(""https://docs.google.com/spreadsheets/d/1SX6NBoVAgQJ6U1MVXOaj8PK2l7WJ3RER9xtqwdhxkhw/edit?usp=sharing"",""จันทบุรี!I371"")"),0)</f>
        <v>0</v>
      </c>
      <c r="J476" s="189">
        <f ca="1">IFERROR(__xludf.DUMMYFUNCTION("IMPORTRANGE(""https://docs.google.com/spreadsheets/d/1SX6NBoVAgQJ6U1MVXOaj8PK2l7WJ3RER9xtqwdhxkhw/edit?usp=sharing"",""จันทบุรี!J371"")"),890)</f>
        <v>890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IFERROR(__xludf.DUMMYFUNCTION("IMPORTRANGE(""https://docs.google.com/spreadsheets/d/1SX6NBoVAgQJ6U1MVXOaj8PK2l7WJ3RER9xtqwdhxkhw/edit?usp=sharing"",""จันทบุรี!I372"")"),0)</f>
        <v>0</v>
      </c>
      <c r="J477" s="189">
        <f ca="1">IFERROR(__xludf.DUMMYFUNCTION("IMPORTRANGE(""https://docs.google.com/spreadsheets/d/1SX6NBoVAgQJ6U1MVXOaj8PK2l7WJ3RER9xtqwdhxkhw/edit?usp=sharing"",""จันทบุรี!J372"")"),6076)</f>
        <v>6076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IFERROR(__xludf.DUMMYFUNCTION("IMPORTRANGE(""https://docs.google.com/spreadsheets/d/1SX6NBoVAgQJ6U1MVXOaj8PK2l7WJ3RER9xtqwdhxkhw/edit?usp=sharing"",""จันทบุรี!I373"")"),0)</f>
        <v>0</v>
      </c>
      <c r="J478" s="189">
        <f ca="1">IFERROR(__xludf.DUMMYFUNCTION("IMPORTRANGE(""https://docs.google.com/spreadsheets/d/1SX6NBoVAgQJ6U1MVXOaj8PK2l7WJ3RER9xtqwdhxkhw/edit?usp=sharing"",""จันทบุรี!J373"")"),440)</f>
        <v>440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IFERROR(__xludf.DUMMYFUNCTION("IMPORTRANGE(""https://docs.google.com/spreadsheets/d/1SX6NBoVAgQJ6U1MVXOaj8PK2l7WJ3RER9xtqwdhxkhw/edit?usp=sharing"",""จันทบุรี!I374"")"),0)</f>
        <v>0</v>
      </c>
      <c r="J479" s="189">
        <f ca="1">IFERROR(__xludf.DUMMYFUNCTION("IMPORTRANGE(""https://docs.google.com/spreadsheets/d/1SX6NBoVAgQJ6U1MVXOaj8PK2l7WJ3RER9xtqwdhxkhw/edit?usp=sharing"",""จันทบุรี!J374"")"),981)</f>
        <v>981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IFERROR(__xludf.DUMMYFUNCTION("IMPORTRANGE(""https://docs.google.com/spreadsheets/d/1SX6NBoVAgQJ6U1MVXOaj8PK2l7WJ3RER9xtqwdhxkhw/edit?usp=sharing"",""จันทบุรี!I375"")"),0)</f>
        <v>0</v>
      </c>
      <c r="J480" s="189">
        <f ca="1">IFERROR(__xludf.DUMMYFUNCTION("IMPORTRANGE(""https://docs.google.com/spreadsheets/d/1SX6NBoVAgQJ6U1MVXOaj8PK2l7WJ3RER9xtqwdhxkhw/edit?usp=sharing"",""จันทบุรี!J375"")"),91)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IFERROR(__xludf.DUMMYFUNCTION("IMPORTRANGE(""https://docs.google.com/spreadsheets/d/1SX6NBoVAgQJ6U1MVXOaj8PK2l7WJ3RER9xtqwdhxkhw/edit?usp=sharing"",""จันทบุรี!I376"")"),18211)</f>
        <v>18211</v>
      </c>
      <c r="J481" s="420">
        <f ca="1">IFERROR(__xludf.DUMMYFUNCTION("IMPORTRANGE(""https://docs.google.com/spreadsheets/d/1SX6NBoVAgQJ6U1MVXOaj8PK2l7WJ3RER9xtqwdhxkhw/edit?usp=sharing"",""จันทบุรี!J376"")"),11708)</f>
        <v>11708</v>
      </c>
      <c r="K481" s="202">
        <f t="shared" ca="1" si="117"/>
        <v>64.290813244742182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IFERROR(__xludf.DUMMYFUNCTION("IMPORTRANGE(""https://docs.google.com/spreadsheets/d/1SX6NBoVAgQJ6U1MVXOaj8PK2l7WJ3RER9xtqwdhxkhw/edit?usp=sharing"",""จันทบุรี!I377"")"),1421)</f>
        <v>1421</v>
      </c>
      <c r="J482" s="420">
        <f ca="1">IFERROR(__xludf.DUMMYFUNCTION("IMPORTRANGE(""https://docs.google.com/spreadsheets/d/1SX6NBoVAgQJ6U1MVXOaj8PK2l7WJ3RER9xtqwdhxkhw/edit?usp=sharing"",""จันทบุรี!J377"")"),939)</f>
        <v>939</v>
      </c>
      <c r="K482" s="163">
        <f t="shared" ca="1" si="117"/>
        <v>66.080225193525692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IFERROR(__xludf.DUMMYFUNCTION("IMPORTRANGE(""https://docs.google.com/spreadsheets/d/1SX6NBoVAgQJ6U1MVXOaj8PK2l7WJ3RER9xtqwdhxkhw/edit?usp=sharing"",""จันทบุรี!I378"")"),0)</f>
        <v>0</v>
      </c>
      <c r="J483" s="189">
        <f ca="1">IFERROR(__xludf.DUMMYFUNCTION("IMPORTRANGE(""https://docs.google.com/spreadsheets/d/1SX6NBoVAgQJ6U1MVXOaj8PK2l7WJ3RER9xtqwdhxkhw/edit?usp=sharing"",""จันทบุรี!J378"")"),11154)</f>
        <v>11154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IFERROR(__xludf.DUMMYFUNCTION("IMPORTRANGE(""https://docs.google.com/spreadsheets/d/1SX6NBoVAgQJ6U1MVXOaj8PK2l7WJ3RER9xtqwdhxkhw/edit?usp=sharing"",""จันทบุรี!I379"")"),0)</f>
        <v>0</v>
      </c>
      <c r="J484" s="189">
        <f ca="1">IFERROR(__xludf.DUMMYFUNCTION("IMPORTRANGE(""https://docs.google.com/spreadsheets/d/1SX6NBoVAgQJ6U1MVXOaj8PK2l7WJ3RER9xtqwdhxkhw/edit?usp=sharing"",""จันทบุรี!J379"")"),890)</f>
        <v>890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IFERROR(__xludf.DUMMYFUNCTION("IMPORTRANGE(""https://docs.google.com/spreadsheets/d/1SX6NBoVAgQJ6U1MVXOaj8PK2l7WJ3RER9xtqwdhxkhw/edit?usp=sharing"",""จันทบุรี!I380"")"),0)</f>
        <v>0</v>
      </c>
      <c r="J485" s="189">
        <f ca="1">IFERROR(__xludf.DUMMYFUNCTION("IMPORTRANGE(""https://docs.google.com/spreadsheets/d/1SX6NBoVAgQJ6U1MVXOaj8PK2l7WJ3RER9xtqwdhxkhw/edit?usp=sharing"",""จันทบุรี!J380"")"),0)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IFERROR(__xludf.DUMMYFUNCTION("IMPORTRANGE(""https://docs.google.com/spreadsheets/d/1SX6NBoVAgQJ6U1MVXOaj8PK2l7WJ3RER9xtqwdhxkhw/edit?usp=sharing"",""จันทบุรี!I381"")"),0)</f>
        <v>0</v>
      </c>
      <c r="J486" s="189">
        <f ca="1">IFERROR(__xludf.DUMMYFUNCTION("IMPORTRANGE(""https://docs.google.com/spreadsheets/d/1SX6NBoVAgQJ6U1MVXOaj8PK2l7WJ3RER9xtqwdhxkhw/edit?usp=sharing"",""จันทบุรี!J381"")"),0)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IFERROR(__xludf.DUMMYFUNCTION("IMPORTRANGE(""https://docs.google.com/spreadsheets/d/1SX6NBoVAgQJ6U1MVXOaj8PK2l7WJ3RER9xtqwdhxkhw/edit?usp=sharing"",""จันทบุรี!I382"")"),0)</f>
        <v>0</v>
      </c>
      <c r="J487" s="420">
        <f ca="1">IFERROR(__xludf.DUMMYFUNCTION("IMPORTRANGE(""https://docs.google.com/spreadsheets/d/1SX6NBoVAgQJ6U1MVXOaj8PK2l7WJ3RER9xtqwdhxkhw/edit?usp=sharing"",""จันทบุรี!J382"")"),554)</f>
        <v>554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IFERROR(__xludf.DUMMYFUNCTION("IMPORTRANGE(""https://docs.google.com/spreadsheets/d/1SX6NBoVAgQJ6U1MVXOaj8PK2l7WJ3RER9xtqwdhxkhw/edit?usp=sharing"",""จันทบุรี!I383"")"),0)</f>
        <v>0</v>
      </c>
      <c r="J488" s="420">
        <f ca="1">IFERROR(__xludf.DUMMYFUNCTION("IMPORTRANGE(""https://docs.google.com/spreadsheets/d/1SX6NBoVAgQJ6U1MVXOaj8PK2l7WJ3RER9xtqwdhxkhw/edit?usp=sharing"",""จันทบุรี!J383"")"),49)</f>
        <v>49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IFERROR(__xludf.DUMMYFUNCTION("IMPORTRANGE(""https://docs.google.com/spreadsheets/d/1SX6NBoVAgQJ6U1MVXOaj8PK2l7WJ3RER9xtqwdhxkhw/edit?usp=sharing"",""จันทบุรี!I384"")"),0)</f>
        <v>0</v>
      </c>
      <c r="J489" s="189">
        <f ca="1">IFERROR(__xludf.DUMMYFUNCTION("IMPORTRANGE(""https://docs.google.com/spreadsheets/d/1SX6NBoVAgQJ6U1MVXOaj8PK2l7WJ3RER9xtqwdhxkhw/edit?usp=sharing"",""จันทบุรี!J384"")"),554)</f>
        <v>554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IFERROR(__xludf.DUMMYFUNCTION("IMPORTRANGE(""https://docs.google.com/spreadsheets/d/1SX6NBoVAgQJ6U1MVXOaj8PK2l7WJ3RER9xtqwdhxkhw/edit?usp=sharing"",""จันทบุรี!I385"")"),0)</f>
        <v>0</v>
      </c>
      <c r="J490" s="189">
        <f ca="1">IFERROR(__xludf.DUMMYFUNCTION("IMPORTRANGE(""https://docs.google.com/spreadsheets/d/1SX6NBoVAgQJ6U1MVXOaj8PK2l7WJ3RER9xtqwdhxkhw/edit?usp=sharing"",""จันทบุรี!J385"")"),49)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IFERROR(__xludf.DUMMYFUNCTION("IMPORTRANGE(""https://docs.google.com/spreadsheets/d/1SX6NBoVAgQJ6U1MVXOaj8PK2l7WJ3RER9xtqwdhxkhw/edit?usp=sharing"",""จันทบุรี!I386"")"),0)</f>
        <v>0</v>
      </c>
      <c r="J491" s="189">
        <f ca="1">IFERROR(__xludf.DUMMYFUNCTION("IMPORTRANGE(""https://docs.google.com/spreadsheets/d/1SX6NBoVAgQJ6U1MVXOaj8PK2l7WJ3RER9xtqwdhxkhw/edit?usp=sharing"",""จันทบุรี!J386"")"),0)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IFERROR(__xludf.DUMMYFUNCTION("IMPORTRANGE(""https://docs.google.com/spreadsheets/d/1SX6NBoVAgQJ6U1MVXOaj8PK2l7WJ3RER9xtqwdhxkhw/edit?usp=sharing"",""จันทบุรี!I387"")"),0)</f>
        <v>0</v>
      </c>
      <c r="J492" s="189">
        <f ca="1">IFERROR(__xludf.DUMMYFUNCTION("IMPORTRANGE(""https://docs.google.com/spreadsheets/d/1SX6NBoVAgQJ6U1MVXOaj8PK2l7WJ3RER9xtqwdhxkhw/edit?usp=sharing"",""จันทบุรี!J387"")"),0)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IFERROR(__xludf.DUMMYFUNCTION("IMPORTRANGE(""https://docs.google.com/spreadsheets/d/1SX6NBoVAgQJ6U1MVXOaj8PK2l7WJ3RER9xtqwdhxkhw/edit?usp=sharing"",""จันทบุรี!I388"")"),0)</f>
        <v>0</v>
      </c>
      <c r="J493" s="189">
        <f ca="1">IFERROR(__xludf.DUMMYFUNCTION("IMPORTRANGE(""https://docs.google.com/spreadsheets/d/1SX6NBoVAgQJ6U1MVXOaj8PK2l7WJ3RER9xtqwdhxkhw/edit?usp=sharing"",""จันทบุรี!J388"")"),0)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IFERROR(__xludf.DUMMYFUNCTION("IMPORTRANGE(""https://docs.google.com/spreadsheets/d/1SX6NBoVAgQJ6U1MVXOaj8PK2l7WJ3RER9xtqwdhxkhw/edit?usp=sharing"",""จันทบุรี!I389"")"),0)</f>
        <v>0</v>
      </c>
      <c r="J494" s="436">
        <f ca="1">IFERROR(__xludf.DUMMYFUNCTION("IMPORTRANGE(""https://docs.google.com/spreadsheets/d/1SX6NBoVAgQJ6U1MVXOaj8PK2l7WJ3RER9xtqwdhxkhw/edit?usp=sharing"",""จันทบุรี!J389"")"),0)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IFERROR(__xludf.DUMMYFUNCTION("IMPORTRANGE(""https://docs.google.com/spreadsheets/d/1SX6NBoVAgQJ6U1MVXOaj8PK2l7WJ3RER9xtqwdhxkhw/edit?usp=sharing"",""จันทบุรี!I390"")"),0)</f>
        <v>0</v>
      </c>
      <c r="J495" s="436">
        <f ca="1">IFERROR(__xludf.DUMMYFUNCTION("IMPORTRANGE(""https://docs.google.com/spreadsheets/d/1SX6NBoVAgQJ6U1MVXOaj8PK2l7WJ3RER9xtqwdhxkhw/edit?usp=sharing"",""จันทบุรี!J390"")"),0)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IFERROR(__xludf.DUMMYFUNCTION("IMPORTRANGE(""https://docs.google.com/spreadsheets/d/1SX6NBoVAgQJ6U1MVXOaj8PK2l7WJ3RER9xtqwdhxkhw/edit?usp=sharing"",""จันทบุรี!I391"")"),0)</f>
        <v>0</v>
      </c>
      <c r="J496" s="436">
        <f ca="1">IFERROR(__xludf.DUMMYFUNCTION("IMPORTRANGE(""https://docs.google.com/spreadsheets/d/1SX6NBoVAgQJ6U1MVXOaj8PK2l7WJ3RER9xtqwdhxkhw/edit?usp=sharing"",""จันทบุรี!J391"")"),0)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IFERROR(__xludf.DUMMYFUNCTION("IMPORTRANGE(""https://docs.google.com/spreadsheets/d/1SX6NBoVAgQJ6U1MVXOaj8PK2l7WJ3RER9xtqwdhxkhw/edit?usp=sharing"",""จันทบุรี!I392"")"),783)</f>
        <v>783</v>
      </c>
      <c r="J497" s="443">
        <f ca="1">IFERROR(__xludf.DUMMYFUNCTION("IMPORTRANGE(""https://docs.google.com/spreadsheets/d/1SX6NBoVAgQJ6U1MVXOaj8PK2l7WJ3RER9xtqwdhxkhw/edit?usp=sharing"",""จันทบุรี!J392"")"),739)</f>
        <v>739</v>
      </c>
      <c r="K497" s="444">
        <f t="shared" ca="1" si="117"/>
        <v>94.380587484035757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IFERROR(__xludf.DUMMYFUNCTION("IMPORTRANGE(""https://docs.google.com/spreadsheets/d/1SX6NBoVAgQJ6U1MVXOaj8PK2l7WJ3RER9xtqwdhxkhw/edit?usp=sharing"",""จันทบุรี!I393"")"),783)</f>
        <v>783</v>
      </c>
      <c r="J498" s="420">
        <f ca="1">IFERROR(__xludf.DUMMYFUNCTION("IMPORTRANGE(""https://docs.google.com/spreadsheets/d/1SX6NBoVAgQJ6U1MVXOaj8PK2l7WJ3RER9xtqwdhxkhw/edit?usp=sharing"",""จันทบุรี!J393"")"),739)</f>
        <v>739</v>
      </c>
      <c r="K498" s="202">
        <f t="shared" ca="1" si="117"/>
        <v>94.380587484035757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IFERROR(__xludf.DUMMYFUNCTION("IMPORTRANGE(""https://docs.google.com/spreadsheets/d/1SX6NBoVAgQJ6U1MVXOaj8PK2l7WJ3RER9xtqwdhxkhw/edit?usp=sharing"",""จันทบุรี!I394"")"),73)</f>
        <v>73</v>
      </c>
      <c r="J499" s="420">
        <f ca="1">IFERROR(__xludf.DUMMYFUNCTION("IMPORTRANGE(""https://docs.google.com/spreadsheets/d/1SX6NBoVAgQJ6U1MVXOaj8PK2l7WJ3RER9xtqwdhxkhw/edit?usp=sharing"",""จันทบุรี!J394"")"),66)</f>
        <v>66</v>
      </c>
      <c r="K499" s="202">
        <f t="shared" ca="1" si="117"/>
        <v>90.410958904109592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IFERROR(__xludf.DUMMYFUNCTION("IMPORTRANGE(""https://docs.google.com/spreadsheets/d/1SX6NBoVAgQJ6U1MVXOaj8PK2l7WJ3RER9xtqwdhxkhw/edit?usp=sharing"",""จันทบุรี!I395"")"),0)</f>
        <v>0</v>
      </c>
      <c r="J500" s="162">
        <f ca="1">IFERROR(__xludf.DUMMYFUNCTION("IMPORTRANGE(""https://docs.google.com/spreadsheets/d/1SX6NBoVAgQJ6U1MVXOaj8PK2l7WJ3RER9xtqwdhxkhw/edit?usp=sharing"",""จันทบุรี!J395"")"),689)</f>
        <v>689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IFERROR(__xludf.DUMMYFUNCTION("IMPORTRANGE(""https://docs.google.com/spreadsheets/d/1SX6NBoVAgQJ6U1MVXOaj8PK2l7WJ3RER9xtqwdhxkhw/edit?usp=sharing"",""จันทบุรี!I396"")"),0)</f>
        <v>0</v>
      </c>
      <c r="J501" s="162">
        <f ca="1">IFERROR(__xludf.DUMMYFUNCTION("IMPORTRANGE(""https://docs.google.com/spreadsheets/d/1SX6NBoVAgQJ6U1MVXOaj8PK2l7WJ3RER9xtqwdhxkhw/edit?usp=sharing"",""จันทบุรี!J396"")"),58)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IFERROR(__xludf.DUMMYFUNCTION("IMPORTRANGE(""https://docs.google.com/spreadsheets/d/1SX6NBoVAgQJ6U1MVXOaj8PK2l7WJ3RER9xtqwdhxkhw/edit?usp=sharing"",""จันทบุรี!I397"")"),0)</f>
        <v>0</v>
      </c>
      <c r="J502" s="189">
        <f ca="1">IFERROR(__xludf.DUMMYFUNCTION("IMPORTRANGE(""https://docs.google.com/spreadsheets/d/1SX6NBoVAgQJ6U1MVXOaj8PK2l7WJ3RER9xtqwdhxkhw/edit?usp=sharing"",""จันทบุรี!J397"")"),689)</f>
        <v>689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IFERROR(__xludf.DUMMYFUNCTION("IMPORTRANGE(""https://docs.google.com/spreadsheets/d/1SX6NBoVAgQJ6U1MVXOaj8PK2l7WJ3RER9xtqwdhxkhw/edit?usp=sharing"",""จันทบุรี!I398"")"),0)</f>
        <v>0</v>
      </c>
      <c r="J503" s="198">
        <f ca="1">IFERROR(__xludf.DUMMYFUNCTION("IMPORTRANGE(""https://docs.google.com/spreadsheets/d/1SX6NBoVAgQJ6U1MVXOaj8PK2l7WJ3RER9xtqwdhxkhw/edit?usp=sharing"",""จันทบุรี!J398"")"),58)</f>
        <v>58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IFERROR(__xludf.DUMMYFUNCTION("IMPORTRANGE(""https://docs.google.com/spreadsheets/d/1SX6NBoVAgQJ6U1MVXOaj8PK2l7WJ3RER9xtqwdhxkhw/edit?usp=sharing"",""จันทบุรี!I399"")"),0)</f>
        <v>0</v>
      </c>
      <c r="J504" s="189">
        <f ca="1">IFERROR(__xludf.DUMMYFUNCTION("IMPORTRANGE(""https://docs.google.com/spreadsheets/d/1SX6NBoVAgQJ6U1MVXOaj8PK2l7WJ3RER9xtqwdhxkhw/edit?usp=sharing"",""จันทบุรี!J399"")"),0)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IFERROR(__xludf.DUMMYFUNCTION("IMPORTRANGE(""https://docs.google.com/spreadsheets/d/1SX6NBoVAgQJ6U1MVXOaj8PK2l7WJ3RER9xtqwdhxkhw/edit?usp=sharing"",""จันทบุรี!I400"")"),0)</f>
        <v>0</v>
      </c>
      <c r="J505" s="198">
        <f ca="1">IFERROR(__xludf.DUMMYFUNCTION("IMPORTRANGE(""https://docs.google.com/spreadsheets/d/1SX6NBoVAgQJ6U1MVXOaj8PK2l7WJ3RER9xtqwdhxkhw/edit?usp=sharing"",""จันทบุรี!J400"")"),0)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IFERROR(__xludf.DUMMYFUNCTION("IMPORTRANGE(""https://docs.google.com/spreadsheets/d/1SX6NBoVAgQJ6U1MVXOaj8PK2l7WJ3RER9xtqwdhxkhw/edit?usp=sharing"",""จันทบุรี!I401"")"),0)</f>
        <v>0</v>
      </c>
      <c r="J506" s="189">
        <f ca="1">IFERROR(__xludf.DUMMYFUNCTION("IMPORTRANGE(""https://docs.google.com/spreadsheets/d/1SX6NBoVAgQJ6U1MVXOaj8PK2l7WJ3RER9xtqwdhxkhw/edit?usp=sharing"",""จันทบุรี!J401"")"),0)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IFERROR(__xludf.DUMMYFUNCTION("IMPORTRANGE(""https://docs.google.com/spreadsheets/d/1SX6NBoVAgQJ6U1MVXOaj8PK2l7WJ3RER9xtqwdhxkhw/edit?usp=sharing"",""จันทบุรี!I402"")"),0)</f>
        <v>0</v>
      </c>
      <c r="J507" s="198">
        <f ca="1">IFERROR(__xludf.DUMMYFUNCTION("IMPORTRANGE(""https://docs.google.com/spreadsheets/d/1SX6NBoVAgQJ6U1MVXOaj8PK2l7WJ3RER9xtqwdhxkhw/edit?usp=sharing"",""จันทบุรี!J402"")"),0)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IFERROR(__xludf.DUMMYFUNCTION("IMPORTRANGE(""https://docs.google.com/spreadsheets/d/1SX6NBoVAgQJ6U1MVXOaj8PK2l7WJ3RER9xtqwdhxkhw/edit?usp=sharing"",""จันทบุรี!I403"")"),0)</f>
        <v>0</v>
      </c>
      <c r="J508" s="162">
        <f ca="1">IFERROR(__xludf.DUMMYFUNCTION("IMPORTRANGE(""https://docs.google.com/spreadsheets/d/1SX6NBoVAgQJ6U1MVXOaj8PK2l7WJ3RER9xtqwdhxkhw/edit?usp=sharing"",""จันทบุรี!J403"")"),50)</f>
        <v>50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IFERROR(__xludf.DUMMYFUNCTION("IMPORTRANGE(""https://docs.google.com/spreadsheets/d/1SX6NBoVAgQJ6U1MVXOaj8PK2l7WJ3RER9xtqwdhxkhw/edit?usp=sharing"",""จันทบุรี!I404"")"),0)</f>
        <v>0</v>
      </c>
      <c r="J509" s="162">
        <f ca="1">IFERROR(__xludf.DUMMYFUNCTION("IMPORTRANGE(""https://docs.google.com/spreadsheets/d/1SX6NBoVAgQJ6U1MVXOaj8PK2l7WJ3RER9xtqwdhxkhw/edit?usp=sharing"",""จันทบุรี!J404"")"),8)</f>
        <v>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IFERROR(__xludf.DUMMYFUNCTION("IMPORTRANGE(""https://docs.google.com/spreadsheets/d/1SX6NBoVAgQJ6U1MVXOaj8PK2l7WJ3RER9xtqwdhxkhw/edit?usp=sharing"",""จันทบุรี!I405"")"),0)</f>
        <v>0</v>
      </c>
      <c r="J510" s="198">
        <f ca="1">IFERROR(__xludf.DUMMYFUNCTION("IMPORTRANGE(""https://docs.google.com/spreadsheets/d/1SX6NBoVAgQJ6U1MVXOaj8PK2l7WJ3RER9xtqwdhxkhw/edit?usp=sharing"",""จันทบุรี!J405"")"),50)</f>
        <v>50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IFERROR(__xludf.DUMMYFUNCTION("IMPORTRANGE(""https://docs.google.com/spreadsheets/d/1SX6NBoVAgQJ6U1MVXOaj8PK2l7WJ3RER9xtqwdhxkhw/edit?usp=sharing"",""จันทบุรี!I406"")"),0)</f>
        <v>0</v>
      </c>
      <c r="J511" s="198">
        <f ca="1">IFERROR(__xludf.DUMMYFUNCTION("IMPORTRANGE(""https://docs.google.com/spreadsheets/d/1SX6NBoVAgQJ6U1MVXOaj8PK2l7WJ3RER9xtqwdhxkhw/edit?usp=sharing"",""จันทบุรี!J406"")"),8)</f>
        <v>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IFERROR(__xludf.DUMMYFUNCTION("IMPORTRANGE(""https://docs.google.com/spreadsheets/d/1SX6NBoVAgQJ6U1MVXOaj8PK2l7WJ3RER9xtqwdhxkhw/edit?usp=sharing"",""จันทบุรี!I407"")"),0)</f>
        <v>0</v>
      </c>
      <c r="J512" s="198">
        <f ca="1">IFERROR(__xludf.DUMMYFUNCTION("IMPORTRANGE(""https://docs.google.com/spreadsheets/d/1SX6NBoVAgQJ6U1MVXOaj8PK2l7WJ3RER9xtqwdhxkhw/edit?usp=sharing"",""จันทบุรี!J407"")"),0)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IFERROR(__xludf.DUMMYFUNCTION("IMPORTRANGE(""https://docs.google.com/spreadsheets/d/1SX6NBoVAgQJ6U1MVXOaj8PK2l7WJ3RER9xtqwdhxkhw/edit?usp=sharing"",""จันทบุรี!I408"")"),0)</f>
        <v>0</v>
      </c>
      <c r="J513" s="198">
        <f ca="1">IFERROR(__xludf.DUMMYFUNCTION("IMPORTRANGE(""https://docs.google.com/spreadsheets/d/1SX6NBoVAgQJ6U1MVXOaj8PK2l7WJ3RER9xtqwdhxkhw/edit?usp=sharing"",""จันทบุรี!J408"")"),0)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IFERROR(__xludf.DUMMYFUNCTION("IMPORTRANGE(""https://docs.google.com/spreadsheets/d/1SX6NBoVAgQJ6U1MVXOaj8PK2l7WJ3RER9xtqwdhxkhw/edit?usp=sharing"",""จันทบุรี!I409"")"),0)</f>
        <v>0</v>
      </c>
      <c r="J514" s="198">
        <f ca="1">IFERROR(__xludf.DUMMYFUNCTION("IMPORTRANGE(""https://docs.google.com/spreadsheets/d/1SX6NBoVAgQJ6U1MVXOaj8PK2l7WJ3RER9xtqwdhxkhw/edit?usp=sharing"",""จันทบุรี!J409"")"),0)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IFERROR(__xludf.DUMMYFUNCTION("IMPORTRANGE(""https://docs.google.com/spreadsheets/d/1SX6NBoVAgQJ6U1MVXOaj8PK2l7WJ3RER9xtqwdhxkhw/edit?usp=sharing"",""จันทบุรี!I410"")"),0)</f>
        <v>0</v>
      </c>
      <c r="J515" s="198">
        <f ca="1">IFERROR(__xludf.DUMMYFUNCTION("IMPORTRANGE(""https://docs.google.com/spreadsheets/d/1SX6NBoVAgQJ6U1MVXOaj8PK2l7WJ3RER9xtqwdhxkhw/edit?usp=sharing"",""จันทบุรี!J410"")"),0)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IFERROR(__xludf.DUMMYFUNCTION("IMPORTRANGE(""https://docs.google.com/spreadsheets/d/1SX6NBoVAgQJ6U1MVXOaj8PK2l7WJ3RER9xtqwdhxkhw/edit?usp=sharing"",""จันทบุรี!I411"")"),0)</f>
        <v>0</v>
      </c>
      <c r="J516" s="268">
        <f ca="1">IFERROR(__xludf.DUMMYFUNCTION("IMPORTRANGE(""https://docs.google.com/spreadsheets/d/1SX6NBoVAgQJ6U1MVXOaj8PK2l7WJ3RER9xtqwdhxkhw/edit?usp=sharing"",""จันทบุรี!J411"")"),0)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IFERROR(__xludf.DUMMYFUNCTION("IMPORTRANGE(""https://docs.google.com/spreadsheets/d/1SX6NBoVAgQJ6U1MVXOaj8PK2l7WJ3RER9xtqwdhxkhw/edit?usp=sharing"",""จันทบุรี!I412"")"),0)</f>
        <v>0</v>
      </c>
      <c r="J517" s="285">
        <f ca="1">IFERROR(__xludf.DUMMYFUNCTION("IMPORTRANGE(""https://docs.google.com/spreadsheets/d/1SX6NBoVAgQJ6U1MVXOaj8PK2l7WJ3RER9xtqwdhxkhw/edit?usp=sharing"",""จันทบุรี!J412"")"),0)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IFERROR(__xludf.DUMMYFUNCTION("IMPORTRANGE(""https://docs.google.com/spreadsheets/d/1SX6NBoVAgQJ6U1MVXOaj8PK2l7WJ3RER9xtqwdhxkhw/edit?usp=sharing"",""จันทบุรี!I413"")"),0)</f>
        <v>0</v>
      </c>
      <c r="J518" s="285">
        <f ca="1">IFERROR(__xludf.DUMMYFUNCTION("IMPORTRANGE(""https://docs.google.com/spreadsheets/d/1SX6NBoVAgQJ6U1MVXOaj8PK2l7WJ3RER9xtqwdhxkhw/edit?usp=sharing"",""จันทบุรี!J413"")"),0)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IFERROR(__xludf.DUMMYFUNCTION("IMPORTRANGE(""https://docs.google.com/spreadsheets/d/1SX6NBoVAgQJ6U1MVXOaj8PK2l7WJ3RER9xtqwdhxkhw/edit?usp=sharing"",""จันทบุรี!I414"")"),0)</f>
        <v>0</v>
      </c>
      <c r="J519" s="188">
        <f ca="1">IFERROR(__xludf.DUMMYFUNCTION("IMPORTRANGE(""https://docs.google.com/spreadsheets/d/1SX6NBoVAgQJ6U1MVXOaj8PK2l7WJ3RER9xtqwdhxkhw/edit?usp=sharing"",""จันทบุรี!J414"")"),0)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IFERROR(__xludf.DUMMYFUNCTION("IMPORTRANGE(""https://docs.google.com/spreadsheets/d/1SX6NBoVAgQJ6U1MVXOaj8PK2l7WJ3RER9xtqwdhxkhw/edit?usp=sharing"",""จันทบุรี!I415"")"),0)</f>
        <v>0</v>
      </c>
      <c r="J520" s="188">
        <f ca="1">IFERROR(__xludf.DUMMYFUNCTION("IMPORTRANGE(""https://docs.google.com/spreadsheets/d/1SX6NBoVAgQJ6U1MVXOaj8PK2l7WJ3RER9xtqwdhxkhw/edit?usp=sharing"",""จันทบุรี!J415"")"),0)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IFERROR(__xludf.DUMMYFUNCTION("IMPORTRANGE(""https://docs.google.com/spreadsheets/d/1SX6NBoVAgQJ6U1MVXOaj8PK2l7WJ3RER9xtqwdhxkhw/edit?usp=sharing"",""จันทบุรี!I416"")"),0)</f>
        <v>0</v>
      </c>
      <c r="J521" s="188">
        <f ca="1">IFERROR(__xludf.DUMMYFUNCTION("IMPORTRANGE(""https://docs.google.com/spreadsheets/d/1SX6NBoVAgQJ6U1MVXOaj8PK2l7WJ3RER9xtqwdhxkhw/edit?usp=sharing"",""จันทบุรี!J416"")"),0)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IFERROR(__xludf.DUMMYFUNCTION("IMPORTRANGE(""https://docs.google.com/spreadsheets/d/1SX6NBoVAgQJ6U1MVXOaj8PK2l7WJ3RER9xtqwdhxkhw/edit?usp=sharing"",""จันทบุรี!I417"")"),0)</f>
        <v>0</v>
      </c>
      <c r="J522" s="188">
        <f ca="1">IFERROR(__xludf.DUMMYFUNCTION("IMPORTRANGE(""https://docs.google.com/spreadsheets/d/1SX6NBoVAgQJ6U1MVXOaj8PK2l7WJ3RER9xtqwdhxkhw/edit?usp=sharing"",""จันทบุรี!J417"")"),0)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IFERROR(__xludf.DUMMYFUNCTION("IMPORTRANGE(""https://docs.google.com/spreadsheets/d/1SX6NBoVAgQJ6U1MVXOaj8PK2l7WJ3RER9xtqwdhxkhw/edit?usp=sharing"",""จันทบุรี!I418"")"),0)</f>
        <v>0</v>
      </c>
      <c r="J523" s="188">
        <f ca="1">IFERROR(__xludf.DUMMYFUNCTION("IMPORTRANGE(""https://docs.google.com/spreadsheets/d/1SX6NBoVAgQJ6U1MVXOaj8PK2l7WJ3RER9xtqwdhxkhw/edit?usp=sharing"",""จันทบุรี!J418"")"),120)</f>
        <v>120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IFERROR(__xludf.DUMMYFUNCTION("IMPORTRANGE(""https://docs.google.com/spreadsheets/d/1SX6NBoVAgQJ6U1MVXOaj8PK2l7WJ3RER9xtqwdhxkhw/edit?usp=sharing"",""จันทบุรี!I419"")"),0)</f>
        <v>0</v>
      </c>
      <c r="J524" s="188">
        <f ca="1">IFERROR(__xludf.DUMMYFUNCTION("IMPORTRANGE(""https://docs.google.com/spreadsheets/d/1SX6NBoVAgQJ6U1MVXOaj8PK2l7WJ3RER9xtqwdhxkhw/edit?usp=sharing"",""จันทบุรี!J419"")"),8)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IFERROR(__xludf.DUMMYFUNCTION("IMPORTRANGE(""https://docs.google.com/spreadsheets/d/1SX6NBoVAgQJ6U1MVXOaj8PK2l7WJ3RER9xtqwdhxkhw/edit?usp=sharing"",""จันทบุรี!I420"")"),120)</f>
        <v>120</v>
      </c>
      <c r="J525" s="285">
        <f ca="1">IFERROR(__xludf.DUMMYFUNCTION("IMPORTRANGE(""https://docs.google.com/spreadsheets/d/1SX6NBoVAgQJ6U1MVXOaj8PK2l7WJ3RER9xtqwdhxkhw/edit?usp=sharing"",""จันทบุรี!J420"")"),0)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IFERROR(__xludf.DUMMYFUNCTION("IMPORTRANGE(""https://docs.google.com/spreadsheets/d/1SX6NBoVAgQJ6U1MVXOaj8PK2l7WJ3RER9xtqwdhxkhw/edit?usp=sharing"",""จันทบุรี!I421"")"),8)</f>
        <v>8</v>
      </c>
      <c r="J526" s="285">
        <f ca="1">IFERROR(__xludf.DUMMYFUNCTION("IMPORTRANGE(""https://docs.google.com/spreadsheets/d/1SX6NBoVAgQJ6U1MVXOaj8PK2l7WJ3RER9xtqwdhxkhw/edit?usp=sharing"",""จันทบุรี!J421"")"),0)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IFERROR(__xludf.DUMMYFUNCTION("IMPORTRANGE(""https://docs.google.com/spreadsheets/d/1SX6NBoVAgQJ6U1MVXOaj8PK2l7WJ3RER9xtqwdhxkhw/edit?usp=sharing"",""จันทบุรี!I422"")"),0)</f>
        <v>0</v>
      </c>
      <c r="J527" s="198">
        <f ca="1">IFERROR(__xludf.DUMMYFUNCTION("IMPORTRANGE(""https://docs.google.com/spreadsheets/d/1SX6NBoVAgQJ6U1MVXOaj8PK2l7WJ3RER9xtqwdhxkhw/edit?usp=sharing"",""จันทบุรี!J422"")"),0)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IFERROR(__xludf.DUMMYFUNCTION("IMPORTRANGE(""https://docs.google.com/spreadsheets/d/1SX6NBoVAgQJ6U1MVXOaj8PK2l7WJ3RER9xtqwdhxkhw/edit?usp=sharing"",""จันทบุรี!I423"")"),0)</f>
        <v>0</v>
      </c>
      <c r="J528" s="198">
        <f ca="1">IFERROR(__xludf.DUMMYFUNCTION("IMPORTRANGE(""https://docs.google.com/spreadsheets/d/1SX6NBoVAgQJ6U1MVXOaj8PK2l7WJ3RER9xtqwdhxkhw/edit?usp=sharing"",""จันทบุรี!J423"")"),0)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IFERROR(__xludf.DUMMYFUNCTION("IMPORTRANGE(""https://docs.google.com/spreadsheets/d/1SX6NBoVAgQJ6U1MVXOaj8PK2l7WJ3RER9xtqwdhxkhw/edit?usp=sharing"",""จันทบุรี!I424"")"),0)</f>
        <v>0</v>
      </c>
      <c r="J529" s="198">
        <f ca="1">IFERROR(__xludf.DUMMYFUNCTION("IMPORTRANGE(""https://docs.google.com/spreadsheets/d/1SX6NBoVAgQJ6U1MVXOaj8PK2l7WJ3RER9xtqwdhxkhw/edit?usp=sharing"",""จันทบุรี!J424"")"),0)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IFERROR(__xludf.DUMMYFUNCTION("IMPORTRANGE(""https://docs.google.com/spreadsheets/d/1SX6NBoVAgQJ6U1MVXOaj8PK2l7WJ3RER9xtqwdhxkhw/edit?usp=sharing"",""จันทบุรี!I425"")"),0)</f>
        <v>0</v>
      </c>
      <c r="J530" s="198">
        <f ca="1">IFERROR(__xludf.DUMMYFUNCTION("IMPORTRANGE(""https://docs.google.com/spreadsheets/d/1SX6NBoVAgQJ6U1MVXOaj8PK2l7WJ3RER9xtqwdhxkhw/edit?usp=sharing"",""จันทบุรี!J425"")"),0)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IFERROR(__xludf.DUMMYFUNCTION("IMPORTRANGE(""https://docs.google.com/spreadsheets/d/1SX6NBoVAgQJ6U1MVXOaj8PK2l7WJ3RER9xtqwdhxkhw/edit?usp=sharing"",""จันทบุรี!I426"")"),0)</f>
        <v>0</v>
      </c>
      <c r="J531" s="198">
        <f ca="1">IFERROR(__xludf.DUMMYFUNCTION("IMPORTRANGE(""https://docs.google.com/spreadsheets/d/1SX6NBoVAgQJ6U1MVXOaj8PK2l7WJ3RER9xtqwdhxkhw/edit?usp=sharing"",""จันทบุรี!J426"")"),0)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IFERROR(__xludf.DUMMYFUNCTION("IMPORTRANGE(""https://docs.google.com/spreadsheets/d/1SX6NBoVAgQJ6U1MVXOaj8PK2l7WJ3RER9xtqwdhxkhw/edit?usp=sharing"",""จันทบุรี!I427"")"),0)</f>
        <v>0</v>
      </c>
      <c r="J532" s="466">
        <f ca="1">IFERROR(__xludf.DUMMYFUNCTION("IMPORTRANGE(""https://docs.google.com/spreadsheets/d/1SX6NBoVAgQJ6U1MVXOaj8PK2l7WJ3RER9xtqwdhxkhw/edit?usp=sharing"",""จันทบุรี!J427"")"),0)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IFERROR(__xludf.DUMMYFUNCTION("IMPORTRANGE(""https://docs.google.com/spreadsheets/d/1SX6NBoVAgQJ6U1MVXOaj8PK2l7WJ3RER9xtqwdhxkhw/edit?usp=sharing"",""จันทบุรี!I428"")"),22)</f>
        <v>22</v>
      </c>
      <c r="J533" s="410">
        <f ca="1">IFERROR(__xludf.DUMMYFUNCTION("IMPORTRANGE(""https://docs.google.com/spreadsheets/d/1SX6NBoVAgQJ6U1MVXOaj8PK2l7WJ3RER9xtqwdhxkhw/edit?usp=sharing"",""จันทบุรี!J428"")"),22)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IFERROR(__xludf.DUMMYFUNCTION("IMPORTRANGE(""https://docs.google.com/spreadsheets/d/1SX6NBoVAgQJ6U1MVXOaj8PK2l7WJ3RER9xtqwdhxkhw/edit?usp=sharing"",""จันทบุรี!L428"")"),34340)</f>
        <v>34340</v>
      </c>
      <c r="M533" s="412"/>
      <c r="N533" s="412">
        <f ca="1">IFERROR(__xludf.DUMMYFUNCTION("IMPORTRANGE(""https://docs.google.com/spreadsheets/d/1SX6NBoVAgQJ6U1MVXOaj8PK2l7WJ3RER9xtqwdhxkhw/edit?usp=sharing"",""จันทบุรี!M428"")"),22816)</f>
        <v>22816</v>
      </c>
      <c r="O533" s="412">
        <f t="shared" ref="O533:O537" ca="1" si="118">+IF(L533&gt;0,N533*100/L533,0)</f>
        <v>66.441467676179386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IFERROR(__xludf.DUMMYFUNCTION("IMPORTRANGE(""https://docs.google.com/spreadsheets/d/1SX6NBoVAgQJ6U1MVXOaj8PK2l7WJ3RER9xtqwdhxkhw/edit?usp=sharing"",""จันทบุรี!L429"")"),0)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IFERROR(__xludf.DUMMYFUNCTION("IMPORTRANGE(""https://docs.google.com/spreadsheets/d/1SX6NBoVAgQJ6U1MVXOaj8PK2l7WJ3RER9xtqwdhxkhw/edit?usp=sharing"",""จันทบุรี!M429"")"),0)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IFERROR(__xludf.DUMMYFUNCTION("IMPORTRANGE(""https://docs.google.com/spreadsheets/d/1SX6NBoVAgQJ6U1MVXOaj8PK2l7WJ3RER9xtqwdhxkhw/edit?usp=sharing"",""จันทบุรี!L430"")"),34340)</f>
        <v>34340</v>
      </c>
      <c r="M535" s="165"/>
      <c r="N535" s="169">
        <f ca="1">IFERROR(__xludf.DUMMYFUNCTION("IMPORTRANGE(""https://docs.google.com/spreadsheets/d/1SX6NBoVAgQJ6U1MVXOaj8PK2l7WJ3RER9xtqwdhxkhw/edit?usp=sharing"",""จันทบุรี!M430"")"),22816)</f>
        <v>22816</v>
      </c>
      <c r="O535" s="169">
        <f t="shared" ca="1" si="118"/>
        <v>66.441467676179386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IFERROR(__xludf.DUMMYFUNCTION("IMPORTRANGE(""https://docs.google.com/spreadsheets/d/1SX6NBoVAgQJ6U1MVXOaj8PK2l7WJ3RER9xtqwdhxkhw/edit?usp=sharing"",""จันทบุรี!L431"")"),0)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IFERROR(__xludf.DUMMYFUNCTION("IMPORTRANGE(""https://docs.google.com/spreadsheets/d/1SX6NBoVAgQJ6U1MVXOaj8PK2l7WJ3RER9xtqwdhxkhw/edit?usp=sharing"",""จันทบุรี!M431"")"),0)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IFERROR(__xludf.DUMMYFUNCTION("IMPORTRANGE(""https://docs.google.com/spreadsheets/d/1SX6NBoVAgQJ6U1MVXOaj8PK2l7WJ3RER9xtqwdhxkhw/edit?usp=sharing"",""จันทบุรี!L432"")"),34340)</f>
        <v>34340</v>
      </c>
      <c r="M537" s="169"/>
      <c r="N537" s="169">
        <f ca="1">IFERROR(__xludf.DUMMYFUNCTION("IMPORTRANGE(""https://docs.google.com/spreadsheets/d/1SX6NBoVAgQJ6U1MVXOaj8PK2l7WJ3RER9xtqwdhxkhw/edit?usp=sharing"",""จันทบุรี!M432"")"),22816)</f>
        <v>22816</v>
      </c>
      <c r="O537" s="169">
        <f t="shared" ca="1" si="118"/>
        <v>66.441467676179386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IFERROR(__xludf.DUMMYFUNCTION("IMPORTRANGE(""https://docs.google.com/spreadsheets/d/1SX6NBoVAgQJ6U1MVXOaj8PK2l7WJ3RER9xtqwdhxkhw/edit?usp=sharing"",""จันทบุรี!M433"")"),18740)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IFERROR(__xludf.DUMMYFUNCTION("IMPORTRANGE(""https://docs.google.com/spreadsheets/d/1SX6NBoVAgQJ6U1MVXOaj8PK2l7WJ3RER9xtqwdhxkhw/edit?usp=sharing"",""จันทบุรี!M434"")"),0)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IFERROR(__xludf.DUMMYFUNCTION("IMPORTRANGE(""https://docs.google.com/spreadsheets/d/1SX6NBoVAgQJ6U1MVXOaj8PK2l7WJ3RER9xtqwdhxkhw/edit?usp=sharing"",""จันทบุรี!M435"")"),0)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IFERROR(__xludf.DUMMYFUNCTION("IMPORTRANGE(""https://docs.google.com/spreadsheets/d/1SX6NBoVAgQJ6U1MVXOaj8PK2l7WJ3RER9xtqwdhxkhw/edit?usp=sharing"",""จันทบุรี!M436"")"),4076)</f>
        <v>4076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IFERROR(__xludf.DUMMYFUNCTION("IMPORTRANGE(""https://docs.google.com/spreadsheets/d/1SX6NBoVAgQJ6U1MVXOaj8PK2l7WJ3RER9xtqwdhxkhw/edit?usp=sharing"",""จันทบุรี!J438"")"),0)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IFERROR(__xludf.DUMMYFUNCTION("IMPORTRANGE(""https://docs.google.com/spreadsheets/d/1SX6NBoVAgQJ6U1MVXOaj8PK2l7WJ3RER9xtqwdhxkhw/edit?usp=sharing"",""จันทบุรี!J439"")"),1)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IFERROR(__xludf.DUMMYFUNCTION("IMPORTRANGE(""https://docs.google.com/spreadsheets/d/1SX6NBoVAgQJ6U1MVXOaj8PK2l7WJ3RER9xtqwdhxkhw/edit?usp=sharing"",""จันทบุรี!J440"")"),1)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IFERROR(__xludf.DUMMYFUNCTION("IMPORTRANGE(""https://docs.google.com/spreadsheets/d/1SX6NBoVAgQJ6U1MVXOaj8PK2l7WJ3RER9xtqwdhxkhw/edit?usp=sharing"",""จันทบุรี!J441"")"),1)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IFERROR(__xludf.DUMMYFUNCTION("IMPORTRANGE(""https://docs.google.com/spreadsheets/d/1SX6NBoVAgQJ6U1MVXOaj8PK2l7WJ3RER9xtqwdhxkhw/edit?usp=sharing"",""จันทบุรี!I442"")"),22)</f>
        <v>22</v>
      </c>
      <c r="J547" s="189">
        <f ca="1">IFERROR(__xludf.DUMMYFUNCTION("IMPORTRANGE(""https://docs.google.com/spreadsheets/d/1SX6NBoVAgQJ6U1MVXOaj8PK2l7WJ3RER9xtqwdhxkhw/edit?usp=sharing"",""จันทบุรี!J442"")"),22)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IFERROR(__xludf.DUMMYFUNCTION("IMPORTRANGE(""https://docs.google.com/spreadsheets/d/1SX6NBoVAgQJ6U1MVXOaj8PK2l7WJ3RER9xtqwdhxkhw/edit?usp=sharing"",""จันทบุรี!J166"")"),0)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IFERROR(__xludf.DUMMYFUNCTION("IMPORTRANGE(""https://docs.google.com/spreadsheets/d/1SX6NBoVAgQJ6U1MVXOaj8PK2l7WJ3RER9xtqwdhxkhw/edit?usp=sharing"",""จันทบุรี!J444"")"),0)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IFERROR(__xludf.DUMMYFUNCTION("IMPORTRANGE(""https://docs.google.com/spreadsheets/d/1SX6NBoVAgQJ6U1MVXOaj8PK2l7WJ3RER9xtqwdhxkhw/edit?usp=sharing"",""จันทบุรี!J445"")"),0)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IFERROR(__xludf.DUMMYFUNCTION("IMPORTRANGE(""https://docs.google.com/spreadsheets/d/1SX6NBoVAgQJ6U1MVXOaj8PK2l7WJ3RER9xtqwdhxkhw/edit?usp=sharing"",""จันทบุรี!I446"")"),0)</f>
        <v>0</v>
      </c>
      <c r="J551" s="410">
        <f ca="1">IFERROR(__xludf.DUMMYFUNCTION("IMPORTRANGE(""https://docs.google.com/spreadsheets/d/1SX6NBoVAgQJ6U1MVXOaj8PK2l7WJ3RER9xtqwdhxkhw/edit?usp=sharing"",""จันทบุรี!J446"")"),0)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IFERROR(__xludf.DUMMYFUNCTION("IMPORTRANGE(""https://docs.google.com/spreadsheets/d/1SX6NBoVAgQJ6U1MVXOaj8PK2l7WJ3RER9xtqwdhxkhw/edit?usp=sharing"",""จันทบุรี!L446"")"),0)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IFERROR(__xludf.DUMMYFUNCTION("IMPORTRANGE(""https://docs.google.com/spreadsheets/d/1SX6NBoVAgQJ6U1MVXOaj8PK2l7WJ3RER9xtqwdhxkhw/edit?usp=sharing"",""จันทบุรี!M446"")"),0)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IFERROR(__xludf.DUMMYFUNCTION("IMPORTRANGE(""https://docs.google.com/spreadsheets/d/1SX6NBoVAgQJ6U1MVXOaj8PK2l7WJ3RER9xtqwdhxkhw/edit?usp=sharing"",""จันทบุรี!L447"")"),0)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IFERROR(__xludf.DUMMYFUNCTION("IMPORTRANGE(""https://docs.google.com/spreadsheets/d/1SX6NBoVAgQJ6U1MVXOaj8PK2l7WJ3RER9xtqwdhxkhw/edit?usp=sharing"",""จันทบุรี!M447"")"),0)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IFERROR(__xludf.DUMMYFUNCTION("IMPORTRANGE(""https://docs.google.com/spreadsheets/d/1SX6NBoVAgQJ6U1MVXOaj8PK2l7WJ3RER9xtqwdhxkhw/edit?usp=sharing"",""จันทบุรี!L448"")"),0)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IFERROR(__xludf.DUMMYFUNCTION("IMPORTRANGE(""https://docs.google.com/spreadsheets/d/1SX6NBoVAgQJ6U1MVXOaj8PK2l7WJ3RER9xtqwdhxkhw/edit?usp=sharing"",""จันทบุรี!M448"")"),0)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IFERROR(__xludf.DUMMYFUNCTION("IMPORTRANGE(""https://docs.google.com/spreadsheets/d/1SX6NBoVAgQJ6U1MVXOaj8PK2l7WJ3RER9xtqwdhxkhw/edit?usp=sharing"",""จันทบุรี!L449"")"),0)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IFERROR(__xludf.DUMMYFUNCTION("IMPORTRANGE(""https://docs.google.com/spreadsheets/d/1SX6NBoVAgQJ6U1MVXOaj8PK2l7WJ3RER9xtqwdhxkhw/edit?usp=sharing"",""จันทบุรี!M449"")"),0)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IFERROR(__xludf.DUMMYFUNCTION("IMPORTRANGE(""https://docs.google.com/spreadsheets/d/1SX6NBoVAgQJ6U1MVXOaj8PK2l7WJ3RER9xtqwdhxkhw/edit?usp=sharing"",""จันทบุรี!L450"")"),0)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IFERROR(__xludf.DUMMYFUNCTION("IMPORTRANGE(""https://docs.google.com/spreadsheets/d/1SX6NBoVAgQJ6U1MVXOaj8PK2l7WJ3RER9xtqwdhxkhw/edit?usp=sharing"",""จันทบุรี!M450"")"),0)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IFERROR(__xludf.DUMMYFUNCTION("IMPORTRANGE(""https://docs.google.com/spreadsheets/d/1SX6NBoVAgQJ6U1MVXOaj8PK2l7WJ3RER9xtqwdhxkhw/edit?usp=sharing"",""จันทบุรี!M451"")"),0)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IFERROR(__xludf.DUMMYFUNCTION("IMPORTRANGE(""https://docs.google.com/spreadsheets/d/1SX6NBoVAgQJ6U1MVXOaj8PK2l7WJ3RER9xtqwdhxkhw/edit?usp=sharing"",""จันทบุรี!M452"")"),0)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IFERROR(__xludf.DUMMYFUNCTION("IMPORTRANGE(""https://docs.google.com/spreadsheets/d/1SX6NBoVAgQJ6U1MVXOaj8PK2l7WJ3RER9xtqwdhxkhw/edit?usp=sharing"",""จันทบุรี!M453"")"),0)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IFERROR(__xludf.DUMMYFUNCTION("IMPORTRANGE(""https://docs.google.com/spreadsheets/d/1SX6NBoVAgQJ6U1MVXOaj8PK2l7WJ3RER9xtqwdhxkhw/edit?usp=sharing"",""จันทบุรี!M454"")"),0)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IFERROR(__xludf.DUMMYFUNCTION("IMPORTRANGE(""https://docs.google.com/spreadsheets/d/1SX6NBoVAgQJ6U1MVXOaj8PK2l7WJ3RER9xtqwdhxkhw/edit?usp=sharing"",""จันทบุรี!I455"")"),0)</f>
        <v>0</v>
      </c>
      <c r="J560" s="162">
        <f ca="1">IFERROR(__xludf.DUMMYFUNCTION("IMPORTRANGE(""https://docs.google.com/spreadsheets/d/1SX6NBoVAgQJ6U1MVXOaj8PK2l7WJ3RER9xtqwdhxkhw/edit?usp=sharing"",""จันทบุรี!J455"")"),0)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IFERROR(__xludf.DUMMYFUNCTION("IMPORTRANGE(""https://docs.google.com/spreadsheets/d/1SX6NBoVAgQJ6U1MVXOaj8PK2l7WJ3RER9xtqwdhxkhw/edit?usp=sharing"",""จันทบุรี!I456"")"),0)</f>
        <v>0</v>
      </c>
      <c r="J561" s="204">
        <f ca="1">IFERROR(__xludf.DUMMYFUNCTION("IMPORTRANGE(""https://docs.google.com/spreadsheets/d/1SX6NBoVAgQJ6U1MVXOaj8PK2l7WJ3RER9xtqwdhxkhw/edit?usp=sharing"",""จันทบุรี!J456"")"),0)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IFERROR(__xludf.DUMMYFUNCTION("IMPORTRANGE(""https://docs.google.com/spreadsheets/d/1SX6NBoVAgQJ6U1MVXOaj8PK2l7WJ3RER9xtqwdhxkhw/edit?usp=sharing"",""จันทบุรี!I459"")"),700)</f>
        <v>700</v>
      </c>
      <c r="J564" s="371">
        <f ca="1">IFERROR(__xludf.DUMMYFUNCTION("IMPORTRANGE(""https://docs.google.com/spreadsheets/d/1SX6NBoVAgQJ6U1MVXOaj8PK2l7WJ3RER9xtqwdhxkhw/edit?usp=sharing"",""จันทบุรี!J459"")"),2191)</f>
        <v>2191</v>
      </c>
      <c r="K564" s="372">
        <f ca="1">IF(I564&gt;0,J564*100/I564,0)</f>
        <v>313</v>
      </c>
      <c r="L564" s="373">
        <f ca="1">IFERROR(__xludf.DUMMYFUNCTION("IMPORTRANGE(""https://docs.google.com/spreadsheets/d/1SX6NBoVAgQJ6U1MVXOaj8PK2l7WJ3RER9xtqwdhxkhw/edit?usp=sharing"",""จันทบุรี!L459"")"),126080)</f>
        <v>126080</v>
      </c>
      <c r="M564" s="373"/>
      <c r="N564" s="373">
        <f ca="1">IFERROR(__xludf.DUMMYFUNCTION("IMPORTRANGE(""https://docs.google.com/spreadsheets/d/1SX6NBoVAgQJ6U1MVXOaj8PK2l7WJ3RER9xtqwdhxkhw/edit?usp=sharing"",""จันทบุรี!M459"")"),81678)</f>
        <v>81678</v>
      </c>
      <c r="O564" s="373">
        <f t="shared" ref="O564:O568" ca="1" si="122">+IF(L564&gt;0,N564*100/L564,0)</f>
        <v>64.782677664974614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IFERROR(__xludf.DUMMYFUNCTION("IMPORTRANGE(""https://docs.google.com/spreadsheets/d/1SX6NBoVAgQJ6U1MVXOaj8PK2l7WJ3RER9xtqwdhxkhw/edit?usp=sharing"",""จันทบุรี!L460"")"),0)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IFERROR(__xludf.DUMMYFUNCTION("IMPORTRANGE(""https://docs.google.com/spreadsheets/d/1SX6NBoVAgQJ6U1MVXOaj8PK2l7WJ3RER9xtqwdhxkhw/edit?usp=sharing"",""จันทบุรี!M460"")"),0)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IFERROR(__xludf.DUMMYFUNCTION("IMPORTRANGE(""https://docs.google.com/spreadsheets/d/1SX6NBoVAgQJ6U1MVXOaj8PK2l7WJ3RER9xtqwdhxkhw/edit?usp=sharing"",""จันทบุรี!L461"")"),126080)</f>
        <v>126080</v>
      </c>
      <c r="M566" s="165"/>
      <c r="N566" s="169">
        <f ca="1">IFERROR(__xludf.DUMMYFUNCTION("IMPORTRANGE(""https://docs.google.com/spreadsheets/d/1SX6NBoVAgQJ6U1MVXOaj8PK2l7WJ3RER9xtqwdhxkhw/edit?usp=sharing"",""จันทบุรี!M461"")"),81678)</f>
        <v>81678</v>
      </c>
      <c r="O566" s="169">
        <f t="shared" ca="1" si="122"/>
        <v>64.782677664974614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IFERROR(__xludf.DUMMYFUNCTION("IMPORTRANGE(""https://docs.google.com/spreadsheets/d/1SX6NBoVAgQJ6U1MVXOaj8PK2l7WJ3RER9xtqwdhxkhw/edit?usp=sharing"",""จันทบุรี!L462"")"),0)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IFERROR(__xludf.DUMMYFUNCTION("IMPORTRANGE(""https://docs.google.com/spreadsheets/d/1SX6NBoVAgQJ6U1MVXOaj8PK2l7WJ3RER9xtqwdhxkhw/edit?usp=sharing"",""จันทบุรี!M462"")"),0)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IFERROR(__xludf.DUMMYFUNCTION("IMPORTRANGE(""https://docs.google.com/spreadsheets/d/1SX6NBoVAgQJ6U1MVXOaj8PK2l7WJ3RER9xtqwdhxkhw/edit?usp=sharing"",""จันทบุรี!L463"")"),126080)</f>
        <v>126080</v>
      </c>
      <c r="M568" s="169"/>
      <c r="N568" s="169">
        <f ca="1">IFERROR(__xludf.DUMMYFUNCTION("IMPORTRANGE(""https://docs.google.com/spreadsheets/d/1SX6NBoVAgQJ6U1MVXOaj8PK2l7WJ3RER9xtqwdhxkhw/edit?usp=sharing"",""จันทบุรี!M463"")"),81678)</f>
        <v>81678</v>
      </c>
      <c r="O568" s="169">
        <f t="shared" ca="1" si="122"/>
        <v>64.782677664974614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IFERROR(__xludf.DUMMYFUNCTION("IMPORTRANGE(""https://docs.google.com/spreadsheets/d/1SX6NBoVAgQJ6U1MVXOaj8PK2l7WJ3RER9xtqwdhxkhw/edit?usp=sharing"",""จันทบุรี!M464"")"),0)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IFERROR(__xludf.DUMMYFUNCTION("IMPORTRANGE(""https://docs.google.com/spreadsheets/d/1SX6NBoVAgQJ6U1MVXOaj8PK2l7WJ3RER9xtqwdhxkhw/edit?usp=sharing"",""จันทบุรี!M465"")"),0)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IFERROR(__xludf.DUMMYFUNCTION("IMPORTRANGE(""https://docs.google.com/spreadsheets/d/1SX6NBoVAgQJ6U1MVXOaj8PK2l7WJ3RER9xtqwdhxkhw/edit?usp=sharing"",""จันทบุรี!M466"")"),63798)</f>
        <v>63798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IFERROR(__xludf.DUMMYFUNCTION("IMPORTRANGE(""https://docs.google.com/spreadsheets/d/1SX6NBoVAgQJ6U1MVXOaj8PK2l7WJ3RER9xtqwdhxkhw/edit?usp=sharing"",""จันทบุรี!M467"")"),17880)</f>
        <v>17880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IFERROR(__xludf.DUMMYFUNCTION("IMPORTRANGE(""https://docs.google.com/spreadsheets/d/1SX6NBoVAgQJ6U1MVXOaj8PK2l7WJ3RER9xtqwdhxkhw/edit?usp=sharing"",""จันทบุรี!I468"")"),700)</f>
        <v>700</v>
      </c>
      <c r="J573" s="420">
        <f ca="1">IFERROR(__xludf.DUMMYFUNCTION("IMPORTRANGE(""https://docs.google.com/spreadsheets/d/1SX6NBoVAgQJ6U1MVXOaj8PK2l7WJ3RER9xtqwdhxkhw/edit?usp=sharing"",""จันทบุรี!J468"")"),2191)</f>
        <v>2191</v>
      </c>
      <c r="K573" s="202">
        <f ca="1">IF(I573&gt;0,J573*100/I573,0)</f>
        <v>313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IFERROR(__xludf.DUMMYFUNCTION("IMPORTRANGE(""https://docs.google.com/spreadsheets/d/1SX6NBoVAgQJ6U1MVXOaj8PK2l7WJ3RER9xtqwdhxkhw/edit?usp=sharing"",""จันทบุรี!I470"")"),0)</f>
        <v>0</v>
      </c>
      <c r="J575" s="198">
        <f ca="1">IFERROR(__xludf.DUMMYFUNCTION("IMPORTRANGE(""https://docs.google.com/spreadsheets/d/1SX6NBoVAgQJ6U1MVXOaj8PK2l7WJ3RER9xtqwdhxkhw/edit?usp=sharing"",""จันทบุรี!J470"")"),6)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IFERROR(__xludf.DUMMYFUNCTION("IMPORTRANGE(""https://docs.google.com/spreadsheets/d/1SX6NBoVAgQJ6U1MVXOaj8PK2l7WJ3RER9xtqwdhxkhw/edit?usp=sharing"",""จันทบุรี!I471"")"),0)</f>
        <v>0</v>
      </c>
      <c r="J576" s="198">
        <f ca="1">IFERROR(__xludf.DUMMYFUNCTION("IMPORTRANGE(""https://docs.google.com/spreadsheets/d/1SX6NBoVAgQJ6U1MVXOaj8PK2l7WJ3RER9xtqwdhxkhw/edit?usp=sharing"",""จันทบุรี!J471"")"),131)</f>
        <v>131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IFERROR(__xludf.DUMMYFUNCTION("IMPORTRANGE(""https://docs.google.com/spreadsheets/d/1SX6NBoVAgQJ6U1MVXOaj8PK2l7WJ3RER9xtqwdhxkhw/edit?usp=sharing"",""จันทบุรี!I472"")"),0)</f>
        <v>0</v>
      </c>
      <c r="J577" s="189">
        <f ca="1">IFERROR(__xludf.DUMMYFUNCTION("IMPORTRANGE(""https://docs.google.com/spreadsheets/d/1SX6NBoVAgQJ6U1MVXOaj8PK2l7WJ3RER9xtqwdhxkhw/edit?usp=sharing"",""จันทบุรี!J472"")"),2049)</f>
        <v>2049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IFERROR(__xludf.DUMMYFUNCTION("IMPORTRANGE(""https://docs.google.com/spreadsheets/d/1SX6NBoVAgQJ6U1MVXOaj8PK2l7WJ3RER9xtqwdhxkhw/edit?usp=sharing"",""จันทบุรี!I473"")"),0)</f>
        <v>0</v>
      </c>
      <c r="J578" s="198">
        <f ca="1">IFERROR(__xludf.DUMMYFUNCTION("IMPORTRANGE(""https://docs.google.com/spreadsheets/d/1SX6NBoVAgQJ6U1MVXOaj8PK2l7WJ3RER9xtqwdhxkhw/edit?usp=sharing"",""จันทบุรี!J473"")"),3)</f>
        <v>3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IFERROR(__xludf.DUMMYFUNCTION("IMPORTRANGE(""https://docs.google.com/spreadsheets/d/1SX6NBoVAgQJ6U1MVXOaj8PK2l7WJ3RER9xtqwdhxkhw/edit?usp=sharing"",""จันทบุรี!I474"")"),0)</f>
        <v>0</v>
      </c>
      <c r="J579" s="198">
        <f ca="1">IFERROR(__xludf.DUMMYFUNCTION("IMPORTRANGE(""https://docs.google.com/spreadsheets/d/1SX6NBoVAgQJ6U1MVXOaj8PK2l7WJ3RER9xtqwdhxkhw/edit?usp=sharing"",""จันทบุรี!J474"")"),8)</f>
        <v>8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IFERROR(__xludf.DUMMYFUNCTION("IMPORTRANGE(""https://docs.google.com/spreadsheets/d/1SX6NBoVAgQJ6U1MVXOaj8PK2l7WJ3RER9xtqwdhxkhw/edit?usp=sharing"",""จันทบุรี!I475"")"),0)</f>
        <v>0</v>
      </c>
      <c r="J580" s="371">
        <f ca="1">IFERROR(__xludf.DUMMYFUNCTION("IMPORTRANGE(""https://docs.google.com/spreadsheets/d/1SX6NBoVAgQJ6U1MVXOaj8PK2l7WJ3RER9xtqwdhxkhw/edit?usp=sharing"",""จันทบุรี!J475"")"),0)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IFERROR(__xludf.DUMMYFUNCTION("IMPORTRANGE(""https://docs.google.com/spreadsheets/d/1SX6NBoVAgQJ6U1MVXOaj8PK2l7WJ3RER9xtqwdhxkhw/edit?usp=sharing"",""จันทบุรี!L475"")"),0)</f>
        <v>0</v>
      </c>
      <c r="M580" s="373"/>
      <c r="N580" s="373">
        <f ca="1">IFERROR(__xludf.DUMMYFUNCTION("IMPORTRANGE(""https://docs.google.com/spreadsheets/d/1SX6NBoVAgQJ6U1MVXOaj8PK2l7WJ3RER9xtqwdhxkhw/edit?usp=sharing"",""จันทบุรี!M475"")"),0)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IFERROR(__xludf.DUMMYFUNCTION("IMPORTRANGE(""https://docs.google.com/spreadsheets/d/1SX6NBoVAgQJ6U1MVXOaj8PK2l7WJ3RER9xtqwdhxkhw/edit?usp=sharing"",""จันทบุรี!L476"")"),0)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IFERROR(__xludf.DUMMYFUNCTION("IMPORTRANGE(""https://docs.google.com/spreadsheets/d/1SX6NBoVAgQJ6U1MVXOaj8PK2l7WJ3RER9xtqwdhxkhw/edit?usp=sharing"",""จันทบุรี!M476"")"),0)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IFERROR(__xludf.DUMMYFUNCTION("IMPORTRANGE(""https://docs.google.com/spreadsheets/d/1SX6NBoVAgQJ6U1MVXOaj8PK2l7WJ3RER9xtqwdhxkhw/edit?usp=sharing"",""จันทบุรี!L477"")"),0)</f>
        <v>0</v>
      </c>
      <c r="M582" s="165"/>
      <c r="N582" s="169">
        <f ca="1">IFERROR(__xludf.DUMMYFUNCTION("IMPORTRANGE(""https://docs.google.com/spreadsheets/d/1SX6NBoVAgQJ6U1MVXOaj8PK2l7WJ3RER9xtqwdhxkhw/edit?usp=sharing"",""จันทบุรี!M477"")"),0)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IFERROR(__xludf.DUMMYFUNCTION("IMPORTRANGE(""https://docs.google.com/spreadsheets/d/1SX6NBoVAgQJ6U1MVXOaj8PK2l7WJ3RER9xtqwdhxkhw/edit?usp=sharing"",""จันทบุรี!L478"")"),0)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IFERROR(__xludf.DUMMYFUNCTION("IMPORTRANGE(""https://docs.google.com/spreadsheets/d/1SX6NBoVAgQJ6U1MVXOaj8PK2l7WJ3RER9xtqwdhxkhw/edit?usp=sharing"",""จันทบุรี!M478"")"),0)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IFERROR(__xludf.DUMMYFUNCTION("IMPORTRANGE(""https://docs.google.com/spreadsheets/d/1SX6NBoVAgQJ6U1MVXOaj8PK2l7WJ3RER9xtqwdhxkhw/edit?usp=sharing"",""จันทบุรี!L479"")"),0)</f>
        <v>0</v>
      </c>
      <c r="M584" s="169"/>
      <c r="N584" s="169">
        <f ca="1">IFERROR(__xludf.DUMMYFUNCTION("IMPORTRANGE(""https://docs.google.com/spreadsheets/d/1SX6NBoVAgQJ6U1MVXOaj8PK2l7WJ3RER9xtqwdhxkhw/edit?usp=sharing"",""จันทบุรี!M479"")"),0)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IFERROR(__xludf.DUMMYFUNCTION("IMPORTRANGE(""https://docs.google.com/spreadsheets/d/1SX6NBoVAgQJ6U1MVXOaj8PK2l7WJ3RER9xtqwdhxkhw/edit?usp=sharing"",""จันทบุรี!M480"")"),0)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IFERROR(__xludf.DUMMYFUNCTION("IMPORTRANGE(""https://docs.google.com/spreadsheets/d/1SX6NBoVAgQJ6U1MVXOaj8PK2l7WJ3RER9xtqwdhxkhw/edit?usp=sharing"",""จันทบุรี!M481"")"),0)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IFERROR(__xludf.DUMMYFUNCTION("IMPORTRANGE(""https://docs.google.com/spreadsheets/d/1SX6NBoVAgQJ6U1MVXOaj8PK2l7WJ3RER9xtqwdhxkhw/edit?usp=sharing"",""จันทบุรี!M482"")"),0)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IFERROR(__xludf.DUMMYFUNCTION("IMPORTRANGE(""https://docs.google.com/spreadsheets/d/1SX6NBoVAgQJ6U1MVXOaj8PK2l7WJ3RER9xtqwdhxkhw/edit?usp=sharing"",""จันทบุรี!M483"")"),0)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IFERROR(__xludf.DUMMYFUNCTION("IMPORTRANGE(""https://docs.google.com/spreadsheets/d/1SX6NBoVAgQJ6U1MVXOaj8PK2l7WJ3RER9xtqwdhxkhw/edit?usp=sharing"",""จันทบุรี!I484"")"),0)</f>
        <v>0</v>
      </c>
      <c r="J589" s="188">
        <f ca="1">IFERROR(__xludf.DUMMYFUNCTION("IMPORTRANGE(""https://docs.google.com/spreadsheets/d/1SX6NBoVAgQJ6U1MVXOaj8PK2l7WJ3RER9xtqwdhxkhw/edit?usp=sharing"",""จันทบุรี!J484"")"),0)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IFERROR(__xludf.DUMMYFUNCTION("IMPORTRANGE(""https://docs.google.com/spreadsheets/d/1SX6NBoVAgQJ6U1MVXOaj8PK2l7WJ3RER9xtqwdhxkhw/edit?usp=sharing"",""จันทบุรี!I485"")"),0)</f>
        <v>0</v>
      </c>
      <c r="J590" s="188">
        <f ca="1">IFERROR(__xludf.DUMMYFUNCTION("IMPORTRANGE(""https://docs.google.com/spreadsheets/d/1SX6NBoVAgQJ6U1MVXOaj8PK2l7WJ3RER9xtqwdhxkhw/edit?usp=sharing"",""จันทบุรี!J485"")"),0)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IFERROR(__xludf.DUMMYFUNCTION("IMPORTRANGE(""https://docs.google.com/spreadsheets/d/1SX6NBoVAgQJ6U1MVXOaj8PK2l7WJ3RER9xtqwdhxkhw/edit?usp=sharing"",""จันทบุรี!I486"")"),0)</f>
        <v>0</v>
      </c>
      <c r="J591" s="188">
        <f ca="1">IFERROR(__xludf.DUMMYFUNCTION("IMPORTRANGE(""https://docs.google.com/spreadsheets/d/1SX6NBoVAgQJ6U1MVXOaj8PK2l7WJ3RER9xtqwdhxkhw/edit?usp=sharing"",""จันทบุรี!J486"")"),0)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IFERROR(__xludf.DUMMYFUNCTION("IMPORTRANGE(""https://docs.google.com/spreadsheets/d/1SX6NBoVAgQJ6U1MVXOaj8PK2l7WJ3RER9xtqwdhxkhw/edit?usp=sharing"",""จันทบุรี!I487"")"),0)</f>
        <v>0</v>
      </c>
      <c r="J592" s="188">
        <f ca="1">IFERROR(__xludf.DUMMYFUNCTION("IMPORTRANGE(""https://docs.google.com/spreadsheets/d/1SX6NBoVAgQJ6U1MVXOaj8PK2l7WJ3RER9xtqwdhxkhw/edit?usp=sharing"",""จันทบุรี!J487"")"),0)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IFERROR(__xludf.DUMMYFUNCTION("IMPORTRANGE(""https://docs.google.com/spreadsheets/d/1SX6NBoVAgQJ6U1MVXOaj8PK2l7WJ3RER9xtqwdhxkhw/edit?usp=sharing"",""จันทบุรี!I488"")"),0)</f>
        <v>0</v>
      </c>
      <c r="J593" s="188">
        <f ca="1">IFERROR(__xludf.DUMMYFUNCTION("IMPORTRANGE(""https://docs.google.com/spreadsheets/d/1SX6NBoVAgQJ6U1MVXOaj8PK2l7WJ3RER9xtqwdhxkhw/edit?usp=sharing"",""จันทบุรี!J488"")"),0)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IFERROR(__xludf.DUMMYFUNCTION("IMPORTRANGE(""https://docs.google.com/spreadsheets/d/1SX6NBoVAgQJ6U1MVXOaj8PK2l7WJ3RER9xtqwdhxkhw/edit?usp=sharing"",""จันทบุรี!I489"")"),0)</f>
        <v>0</v>
      </c>
      <c r="J594" s="188">
        <f ca="1">IFERROR(__xludf.DUMMYFUNCTION("IMPORTRANGE(""https://docs.google.com/spreadsheets/d/1SX6NBoVAgQJ6U1MVXOaj8PK2l7WJ3RER9xtqwdhxkhw/edit?usp=sharing"",""จันทบุรี!J489"")"),0)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IFERROR(__xludf.DUMMYFUNCTION("IMPORTRANGE(""https://docs.google.com/spreadsheets/d/1SX6NBoVAgQJ6U1MVXOaj8PK2l7WJ3RER9xtqwdhxkhw/edit?usp=sharing"",""จันทบุรี!I490"")"),0)</f>
        <v>0</v>
      </c>
      <c r="J595" s="188">
        <f ca="1">IFERROR(__xludf.DUMMYFUNCTION("IMPORTRANGE(""https://docs.google.com/spreadsheets/d/1SX6NBoVAgQJ6U1MVXOaj8PK2l7WJ3RER9xtqwdhxkhw/edit?usp=sharing"",""จันทบุรี!J490"")"),0)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IFERROR(__xludf.DUMMYFUNCTION("IMPORTRANGE(""https://docs.google.com/spreadsheets/d/1SX6NBoVAgQJ6U1MVXOaj8PK2l7WJ3RER9xtqwdhxkhw/edit?usp=sharing"",""จันทบุรี!I491"")"),0)</f>
        <v>0</v>
      </c>
      <c r="J596" s="242">
        <f ca="1">IFERROR(__xludf.DUMMYFUNCTION("IMPORTRANGE(""https://docs.google.com/spreadsheets/d/1SX6NBoVAgQJ6U1MVXOaj8PK2l7WJ3RER9xtqwdhxkhw/edit?usp=sharing"",""จันทบุรี!J491"")"),0)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IFERROR(__xludf.DUMMYFUNCTION("IMPORTRANGE(""https://docs.google.com/spreadsheets/d/1SX6NBoVAgQJ6U1MVXOaj8PK2l7WJ3RER9xtqwdhxkhw/edit?usp=sharing"",""จันทบุรี!I492"")"),50)</f>
        <v>50</v>
      </c>
      <c r="J597" s="488">
        <f ca="1">IFERROR(__xludf.DUMMYFUNCTION("IMPORTRANGE(""https://docs.google.com/spreadsheets/d/1SX6NBoVAgQJ6U1MVXOaj8PK2l7WJ3RER9xtqwdhxkhw/edit?usp=sharing"",""จันทบุรี!J492"")"),0)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IFERROR(__xludf.DUMMYFUNCTION("IMPORTRANGE(""https://docs.google.com/spreadsheets/d/1SX6NBoVAgQJ6U1MVXOaj8PK2l7WJ3RER9xtqwdhxkhw/edit?usp=sharing"",""จันทบุรี!L492"")"),4550)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IFERROR(__xludf.DUMMYFUNCTION("IMPORTRANGE(""https://docs.google.com/spreadsheets/d/1SX6NBoVAgQJ6U1MVXOaj8PK2l7WJ3RER9xtqwdhxkhw/edit?usp=sharing"",""จันทบุรี!M492"")"),650)</f>
        <v>650</v>
      </c>
      <c r="O597" s="412">
        <f t="shared" ref="O597:O601" ca="1" si="126">+IF(L597&gt;0,N597*100/L597,0)</f>
        <v>14.285714285714286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IFERROR(__xludf.DUMMYFUNCTION("IMPORTRANGE(""https://docs.google.com/spreadsheets/d/1SX6NBoVAgQJ6U1MVXOaj8PK2l7WJ3RER9xtqwdhxkhw/edit?usp=sharing"",""จันทบุรี!L493"")"),0)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IFERROR(__xludf.DUMMYFUNCTION("IMPORTRANGE(""https://docs.google.com/spreadsheets/d/1SX6NBoVAgQJ6U1MVXOaj8PK2l7WJ3RER9xtqwdhxkhw/edit?usp=sharing"",""จันทบุรี!M493"")"),0)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IFERROR(__xludf.DUMMYFUNCTION("IMPORTRANGE(""https://docs.google.com/spreadsheets/d/1SX6NBoVAgQJ6U1MVXOaj8PK2l7WJ3RER9xtqwdhxkhw/edit?usp=sharing"",""จันทบุรี!L494"")"),4550)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IFERROR(__xludf.DUMMYFUNCTION("IMPORTRANGE(""https://docs.google.com/spreadsheets/d/1SX6NBoVAgQJ6U1MVXOaj8PK2l7WJ3RER9xtqwdhxkhw/edit?usp=sharing"",""จันทบุรี!M494"")"),650)</f>
        <v>650</v>
      </c>
      <c r="O599" s="169">
        <f t="shared" ca="1" si="126"/>
        <v>14.285714285714286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IFERROR(__xludf.DUMMYFUNCTION("IMPORTRANGE(""https://docs.google.com/spreadsheets/d/1SX6NBoVAgQJ6U1MVXOaj8PK2l7WJ3RER9xtqwdhxkhw/edit?usp=sharing"",""จันทบุรี!L495"")"),0)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IFERROR(__xludf.DUMMYFUNCTION("IMPORTRANGE(""https://docs.google.com/spreadsheets/d/1SX6NBoVAgQJ6U1MVXOaj8PK2l7WJ3RER9xtqwdhxkhw/edit?usp=sharing"",""จันทบุรี!M495"")"),0)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IFERROR(__xludf.DUMMYFUNCTION("IMPORTRANGE(""https://docs.google.com/spreadsheets/d/1SX6NBoVAgQJ6U1MVXOaj8PK2l7WJ3RER9xtqwdhxkhw/edit?usp=sharing"",""จันทบุรี!L496"")"),4550)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IFERROR(__xludf.DUMMYFUNCTION("IMPORTRANGE(""https://docs.google.com/spreadsheets/d/1SX6NBoVAgQJ6U1MVXOaj8PK2l7WJ3RER9xtqwdhxkhw/edit?usp=sharing"",""จันทบุรี!M496"")"),650)</f>
        <v>650</v>
      </c>
      <c r="O601" s="169">
        <f t="shared" ca="1" si="126"/>
        <v>14.285714285714286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IFERROR(__xludf.DUMMYFUNCTION("IMPORTRANGE(""https://docs.google.com/spreadsheets/d/1SX6NBoVAgQJ6U1MVXOaj8PK2l7WJ3RER9xtqwdhxkhw/edit?usp=sharing"",""จันทบุรี!M497"")"),0)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IFERROR(__xludf.DUMMYFUNCTION("IMPORTRANGE(""https://docs.google.com/spreadsheets/d/1SX6NBoVAgQJ6U1MVXOaj8PK2l7WJ3RER9xtqwdhxkhw/edit?usp=sharing"",""จันทบุรี!M498"")"),0)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IFERROR(__xludf.DUMMYFUNCTION("IMPORTRANGE(""https://docs.google.com/spreadsheets/d/1SX6NBoVAgQJ6U1MVXOaj8PK2l7WJ3RER9xtqwdhxkhw/edit?usp=sharing"",""จันทบุรี!M499"")"),0)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IFERROR(__xludf.DUMMYFUNCTION("IMPORTRANGE(""https://docs.google.com/spreadsheets/d/1SX6NBoVAgQJ6U1MVXOaj8PK2l7WJ3RER9xtqwdhxkhw/edit?usp=sharing"",""จันทบุรี!M500"")"),650)</f>
        <v>650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IFERROR(__xludf.DUMMYFUNCTION("IMPORTRANGE(""https://docs.google.com/spreadsheets/d/1SX6NBoVAgQJ6U1MVXOaj8PK2l7WJ3RER9xtqwdhxkhw/edit?usp=sharing"",""จันทบุรี!J502"")"),0)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IFERROR(__xludf.DUMMYFUNCTION("IMPORTRANGE(""https://docs.google.com/spreadsheets/d/1SX6NBoVAgQJ6U1MVXOaj8PK2l7WJ3RER9xtqwdhxkhw/edit?usp=sharing"",""จันทบุรี!J503"")"),1)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IFERROR(__xludf.DUMMYFUNCTION("IMPORTRANGE(""https://docs.google.com/spreadsheets/d/1SX6NBoVAgQJ6U1MVXOaj8PK2l7WJ3RER9xtqwdhxkhw/edit?usp=sharing"",""จันทบุรี!J166"")"),0)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IFERROR(__xludf.DUMMYFUNCTION("IMPORTRANGE(""https://docs.google.com/spreadsheets/d/1SX6NBoVAgQJ6U1MVXOaj8PK2l7WJ3RER9xtqwdhxkhw/edit?usp=sharing"",""จันทบุรี!J166"")"),0)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IFERROR(__xludf.DUMMYFUNCTION("IMPORTRANGE(""https://docs.google.com/spreadsheets/d/1SX6NBoVAgQJ6U1MVXOaj8PK2l7WJ3RER9xtqwdhxkhw/edit?usp=sharing"",""จันทบุรี!I506"")"),50)</f>
        <v>50</v>
      </c>
      <c r="J611" s="162">
        <f ca="1">IFERROR(__xludf.DUMMYFUNCTION("IMPORTRANGE(""https://docs.google.com/spreadsheets/d/1SX6NBoVAgQJ6U1MVXOaj8PK2l7WJ3RER9xtqwdhxkhw/edit?usp=sharing"",""จันทบุรี!J506"")"),0)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IFERROR(__xludf.DUMMYFUNCTION("IMPORTRANGE(""https://docs.google.com/spreadsheets/d/1SX6NBoVAgQJ6U1MVXOaj8PK2l7WJ3RER9xtqwdhxkhw/edit?usp=sharing"",""จันทบุรี!I507"")"),0)</f>
        <v>0</v>
      </c>
      <c r="J612" s="198">
        <f ca="1">IFERROR(__xludf.DUMMYFUNCTION("IMPORTRANGE(""https://docs.google.com/spreadsheets/d/1SX6NBoVAgQJ6U1MVXOaj8PK2l7WJ3RER9xtqwdhxkhw/edit?usp=sharing"",""จันทบุรี!J507"")"),0)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IFERROR(__xludf.DUMMYFUNCTION("IMPORTRANGE(""https://docs.google.com/spreadsheets/d/1SX6NBoVAgQJ6U1MVXOaj8PK2l7WJ3RER9xtqwdhxkhw/edit?usp=sharing"",""จันทบุรี!I508"")"),0)</f>
        <v>0</v>
      </c>
      <c r="J613" s="198">
        <f ca="1">IFERROR(__xludf.DUMMYFUNCTION("IMPORTRANGE(""https://docs.google.com/spreadsheets/d/1SX6NBoVAgQJ6U1MVXOaj8PK2l7WJ3RER9xtqwdhxkhw/edit?usp=sharing"",""จันทบุรี!J508"")"),0)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IFERROR(__xludf.DUMMYFUNCTION("IMPORTRANGE(""https://docs.google.com/spreadsheets/d/1SX6NBoVAgQJ6U1MVXOaj8PK2l7WJ3RER9xtqwdhxkhw/edit?usp=sharing"",""จันทบุรี!I509"")"),0)</f>
        <v>0</v>
      </c>
      <c r="J614" s="198">
        <f ca="1">IFERROR(__xludf.DUMMYFUNCTION("IMPORTRANGE(""https://docs.google.com/spreadsheets/d/1SX6NBoVAgQJ6U1MVXOaj8PK2l7WJ3RER9xtqwdhxkhw/edit?usp=sharing"",""จันทบุรี!J509"")"),0)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IFERROR(__xludf.DUMMYFUNCTION("IMPORTRANGE(""https://docs.google.com/spreadsheets/d/1SX6NBoVAgQJ6U1MVXOaj8PK2l7WJ3RER9xtqwdhxkhw/edit?usp=sharing"",""จันทบุรี!I510"")"),0)</f>
        <v>0</v>
      </c>
      <c r="J615" s="198">
        <f ca="1">IFERROR(__xludf.DUMMYFUNCTION("IMPORTRANGE(""https://docs.google.com/spreadsheets/d/1SX6NBoVAgQJ6U1MVXOaj8PK2l7WJ3RER9xtqwdhxkhw/edit?usp=sharing"",""จันทบุรี!J510"")"),0)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IFERROR(__xludf.DUMMYFUNCTION("IMPORTRANGE(""https://docs.google.com/spreadsheets/d/1SX6NBoVAgQJ6U1MVXOaj8PK2l7WJ3RER9xtqwdhxkhw/edit?usp=sharing"",""จันทบุรี!I511"")"),0)</f>
        <v>0</v>
      </c>
      <c r="J616" s="198">
        <f ca="1">IFERROR(__xludf.DUMMYFUNCTION("IMPORTRANGE(""https://docs.google.com/spreadsheets/d/1SX6NBoVAgQJ6U1MVXOaj8PK2l7WJ3RER9xtqwdhxkhw/edit?usp=sharing"",""จันทบุรี!J511"")"),0)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IFERROR(__xludf.DUMMYFUNCTION("IMPORTRANGE(""https://docs.google.com/spreadsheets/d/1SX6NBoVAgQJ6U1MVXOaj8PK2l7WJ3RER9xtqwdhxkhw/edit?usp=sharing"",""จันทบุรี!I512"")"),0)</f>
        <v>0</v>
      </c>
      <c r="J617" s="188">
        <f ca="1">IFERROR(__xludf.DUMMYFUNCTION("IMPORTRANGE(""https://docs.google.com/spreadsheets/d/1SX6NBoVAgQJ6U1MVXOaj8PK2l7WJ3RER9xtqwdhxkhw/edit?usp=sharing"",""จันทบุรี!J512"")"),0)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IFERROR(__xludf.DUMMYFUNCTION("IMPORTRANGE(""https://docs.google.com/spreadsheets/d/1SX6NBoVAgQJ6U1MVXOaj8PK2l7WJ3RER9xtqwdhxkhw/edit?usp=sharing"",""จันทบุรี!I513"")"),0)</f>
        <v>0</v>
      </c>
      <c r="J618" s="189">
        <f ca="1">IFERROR(__xludf.DUMMYFUNCTION("IMPORTRANGE(""https://docs.google.com/spreadsheets/d/1SX6NBoVAgQJ6U1MVXOaj8PK2l7WJ3RER9xtqwdhxkhw/edit?usp=sharing"",""จันทบุรี!J513"")"),0)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IFERROR(__xludf.DUMMYFUNCTION("IMPORTRANGE(""https://docs.google.com/spreadsheets/d/1SX6NBoVAgQJ6U1MVXOaj8PK2l7WJ3RER9xtqwdhxkhw/edit?usp=sharing"",""จันทบุรี!I514"")"),0)</f>
        <v>0</v>
      </c>
      <c r="J619" s="189">
        <f ca="1">IFERROR(__xludf.DUMMYFUNCTION("IMPORTRANGE(""https://docs.google.com/spreadsheets/d/1SX6NBoVAgQJ6U1MVXOaj8PK2l7WJ3RER9xtqwdhxkhw/edit?usp=sharing"",""จันทบุรี!J514"")"),0)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IFERROR(__xludf.DUMMYFUNCTION("IMPORTRANGE(""https://docs.google.com/spreadsheets/d/1SX6NBoVAgQJ6U1MVXOaj8PK2l7WJ3RER9xtqwdhxkhw/edit?usp=sharing"",""จันทบุรี!I515"")"),0)</f>
        <v>0</v>
      </c>
      <c r="J620" s="203">
        <f ca="1">IFERROR(__xludf.DUMMYFUNCTION("IMPORTRANGE(""https://docs.google.com/spreadsheets/d/1SX6NBoVAgQJ6U1MVXOaj8PK2l7WJ3RER9xtqwdhxkhw/edit?usp=sharing"",""จันทบุรี!J515"")"),0)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IFERROR(__xludf.DUMMYFUNCTION("IMPORTRANGE(""https://docs.google.com/spreadsheets/d/1SX6NBoVAgQJ6U1MVXOaj8PK2l7WJ3RER9xtqwdhxkhw/edit?usp=sharing"",""จันทบุรี!I516"")"),0)</f>
        <v>0</v>
      </c>
      <c r="J621" s="203">
        <f ca="1">IFERROR(__xludf.DUMMYFUNCTION("IMPORTRANGE(""https://docs.google.com/spreadsheets/d/1SX6NBoVAgQJ6U1MVXOaj8PK2l7WJ3RER9xtqwdhxkhw/edit?usp=sharing"",""จันทบุรี!J516"")"),0)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IFERROR(__xludf.DUMMYFUNCTION("IMPORTRANGE(""https://docs.google.com/spreadsheets/d/1SX6NBoVAgQJ6U1MVXOaj8PK2l7WJ3RER9xtqwdhxkhw/edit?usp=sharing"",""จันทบุรี!I517"")"),0)</f>
        <v>0</v>
      </c>
      <c r="J622" s="189">
        <f ca="1">IFERROR(__xludf.DUMMYFUNCTION("IMPORTRANGE(""https://docs.google.com/spreadsheets/d/1SX6NBoVAgQJ6U1MVXOaj8PK2l7WJ3RER9xtqwdhxkhw/edit?usp=sharing"",""จันทบุรี!J517"")"),0)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IFERROR(__xludf.DUMMYFUNCTION("IMPORTRANGE(""https://docs.google.com/spreadsheets/d/1SX6NBoVAgQJ6U1MVXOaj8PK2l7WJ3RER9xtqwdhxkhw/edit?usp=sharing"",""จันทบุรี!I518"")"),0)</f>
        <v>0</v>
      </c>
      <c r="J623" s="189">
        <f ca="1">IFERROR(__xludf.DUMMYFUNCTION("IMPORTRANGE(""https://docs.google.com/spreadsheets/d/1SX6NBoVAgQJ6U1MVXOaj8PK2l7WJ3RER9xtqwdhxkhw/edit?usp=sharing"",""จันทบุรี!J518"")"),0)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IFERROR(__xludf.DUMMYFUNCTION("IMPORTRANGE(""https://docs.google.com/spreadsheets/d/1SX6NBoVAgQJ6U1MVXOaj8PK2l7WJ3RER9xtqwdhxkhw/edit?usp=sharing"",""จันทบุรี!I519"")"),0)</f>
        <v>0</v>
      </c>
      <c r="J624" s="188">
        <f ca="1">IFERROR(__xludf.DUMMYFUNCTION("IMPORTRANGE(""https://docs.google.com/spreadsheets/d/1SX6NBoVAgQJ6U1MVXOaj8PK2l7WJ3RER9xtqwdhxkhw/edit?usp=sharing"",""จันทบุรี!J519"")"),0)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IFERROR(__xludf.DUMMYFUNCTION("IMPORTRANGE(""https://docs.google.com/spreadsheets/d/1SX6NBoVAgQJ6U1MVXOaj8PK2l7WJ3RER9xtqwdhxkhw/edit?usp=sharing"",""จันทบุรี!I520"")"),0)</f>
        <v>0</v>
      </c>
      <c r="J625" s="189">
        <f ca="1">IFERROR(__xludf.DUMMYFUNCTION("IMPORTRANGE(""https://docs.google.com/spreadsheets/d/1SX6NBoVAgQJ6U1MVXOaj8PK2l7WJ3RER9xtqwdhxkhw/edit?usp=sharing"",""จันทบุรี!J520"")"),0)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IFERROR(__xludf.DUMMYFUNCTION("IMPORTRANGE(""https://docs.google.com/spreadsheets/d/1SX6NBoVAgQJ6U1MVXOaj8PK2l7WJ3RER9xtqwdhxkhw/edit?usp=sharing"",""จันทบุรี!I521"")"),0)</f>
        <v>0</v>
      </c>
      <c r="J626" s="189">
        <f ca="1">IFERROR(__xludf.DUMMYFUNCTION("IMPORTRANGE(""https://docs.google.com/spreadsheets/d/1SX6NBoVAgQJ6U1MVXOaj8PK2l7WJ3RER9xtqwdhxkhw/edit?usp=sharing"",""จันทบุรี!J521"")"),0)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IFERROR(__xludf.DUMMYFUNCTION("IMPORTRANGE(""https://docs.google.com/spreadsheets/d/1SX6NBoVAgQJ6U1MVXOaj8PK2l7WJ3RER9xtqwdhxkhw/edit?usp=sharing"",""จันทบุรี!I523"")"),7886000)</f>
        <v>7886000</v>
      </c>
      <c r="J628" s="342">
        <f ca="1">IFERROR(__xludf.DUMMYFUNCTION("IMPORTRANGE(""https://docs.google.com/spreadsheets/d/1SX6NBoVAgQJ6U1MVXOaj8PK2l7WJ3RER9xtqwdhxkhw/edit?usp=sharing"",""จันทบุรี!J523"")"),6540000)</f>
        <v>6540000</v>
      </c>
      <c r="K628" s="343">
        <f t="shared" ref="K628:K635" ca="1" si="129">IF(I628&gt;0,J628*100/I628,0)</f>
        <v>82.93177783413644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IFERROR(__xludf.DUMMYFUNCTION("IMPORTRANGE(""https://docs.google.com/spreadsheets/d/1SX6NBoVAgQJ6U1MVXOaj8PK2l7WJ3RER9xtqwdhxkhw/edit?usp=sharing"",""จันทบุรี!I524"")"),395)</f>
        <v>395</v>
      </c>
      <c r="J629" s="342">
        <f ca="1">IFERROR(__xludf.DUMMYFUNCTION("IMPORTRANGE(""https://docs.google.com/spreadsheets/d/1SX6NBoVAgQJ6U1MVXOaj8PK2l7WJ3RER9xtqwdhxkhw/edit?usp=sharing"",""จันทบุรี!J524"")"),327)</f>
        <v>327</v>
      </c>
      <c r="K629" s="343">
        <f t="shared" ca="1" si="129"/>
        <v>82.784810126582272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2">
        <f ca="1">IFERROR(__xludf.DUMMYFUNCTION("IMPORTRANGE(""https://docs.google.com/spreadsheets/d/1SX6NBoVAgQJ6U1MVXOaj8PK2l7WJ3RER9xtqwdhxkhw/edit?usp=sharing"",""จันทบุรี!J525"")"),835762.64)</f>
        <v>835762.64</v>
      </c>
      <c r="K630" s="343">
        <f t="shared" ca="1" si="129"/>
        <v>5.1319543515404158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IFERROR(__xludf.DUMMYFUNCTION("IMPORTRANGE(""https://docs.google.com/spreadsheets/d/1SX6NBoVAgQJ6U1MVXOaj8PK2l7WJ3RER9xtqwdhxkhw/edit?usp=sharing"",""จันทบุรี!I526"")"),368)</f>
        <v>368</v>
      </c>
      <c r="J631" s="342">
        <f ca="1">IFERROR(__xludf.DUMMYFUNCTION("IMPORTRANGE(""https://docs.google.com/spreadsheets/d/1SX6NBoVAgQJ6U1MVXOaj8PK2l7WJ3RER9xtqwdhxkhw/edit?usp=sharing"",""จันทบุรี!J526"")"),110)</f>
        <v>110</v>
      </c>
      <c r="K631" s="343">
        <f t="shared" ca="1" si="129"/>
        <v>29.891304347826086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2">
        <f ca="1">IFERROR(__xludf.DUMMYFUNCTION("IMPORTRANGE(""https://docs.google.com/spreadsheets/d/1SX6NBoVAgQJ6U1MVXOaj8PK2l7WJ3RER9xtqwdhxkhw/edit?usp=sharing"",""จันทบุรี!J527"")"),521376.91)</f>
        <v>521376.91</v>
      </c>
      <c r="K632" s="343">
        <f t="shared" ca="1" si="129"/>
        <v>30.048179900737605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IFERROR(__xludf.DUMMYFUNCTION("IMPORTRANGE(""https://docs.google.com/spreadsheets/d/1SX6NBoVAgQJ6U1MVXOaj8PK2l7WJ3RER9xtqwdhxkhw/edit?usp=sharing"",""จันทบุรี!I528"")"),121)</f>
        <v>121</v>
      </c>
      <c r="J633" s="342">
        <f ca="1">IFERROR(__xludf.DUMMYFUNCTION("IMPORTRANGE(""https://docs.google.com/spreadsheets/d/1SX6NBoVAgQJ6U1MVXOaj8PK2l7WJ3RER9xtqwdhxkhw/edit?usp=sharing"",""จันทบุรี!J528"")"),87)</f>
        <v>87</v>
      </c>
      <c r="K633" s="343">
        <f t="shared" ca="1" si="129"/>
        <v>71.900826446280988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IFERROR(__xludf.DUMMYFUNCTION("IMPORTRANGE(""https://docs.google.com/spreadsheets/d/1SX6NBoVAgQJ6U1MVXOaj8PK2l7WJ3RER9xtqwdhxkhw/edit?usp=sharing"",""จันทบุรี!I529"")"),6340000)</f>
        <v>6340000</v>
      </c>
      <c r="J634" s="342">
        <f ca="1">IFERROR(__xludf.DUMMYFUNCTION("IMPORTRANGE(""https://docs.google.com/spreadsheets/d/1SX6NBoVAgQJ6U1MVXOaj8PK2l7WJ3RER9xtqwdhxkhw/edit?usp=sharing"",""จันทบุรี!J529"")"),4920000)</f>
        <v>4920000</v>
      </c>
      <c r="K634" s="343">
        <f t="shared" ca="1" si="129"/>
        <v>77.602523659305987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IFERROR(__xludf.DUMMYFUNCTION("IMPORTRANGE(""https://docs.google.com/spreadsheets/d/1SX6NBoVAgQJ6U1MVXOaj8PK2l7WJ3RER9xtqwdhxkhw/edit?usp=sharing"",""จันทบุรี!I530"")"),317)</f>
        <v>317</v>
      </c>
      <c r="J635" s="505">
        <f ca="1">IFERROR(__xludf.DUMMYFUNCTION("IMPORTRANGE(""https://docs.google.com/spreadsheets/d/1SX6NBoVAgQJ6U1MVXOaj8PK2l7WJ3RER9xtqwdhxkhw/edit?usp=sharing"",""จันทบุรี!J530"")"),246)</f>
        <v>246</v>
      </c>
      <c r="K635" s="487">
        <f t="shared" ca="1" si="129"/>
        <v>77.602523659305987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9670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9670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9670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IFERROR(__xludf.DUMMYFUNCTION("IMPORTRANGE(""https://docs.google.com/spreadsheets/d/1SX6NBoVAgQJ6U1MVXOaj8PK2l7WJ3RER9xtqwdhxkhw/edit#gid=346597447"",""จันทบุรี!J541"")"),0)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IFERROR(__xludf.DUMMYFUNCTION("IMPORTRANGE(""https://docs.google.com/spreadsheets/d/1SX6NBoVAgQJ6U1MVXOaj8PK2l7WJ3RER9xtqwdhxkhw/edit#gid=346597447"",""จันทบุรี!J542"")"),0)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IFERROR(__xludf.DUMMYFUNCTION("IMPORTRANGE(""https://docs.google.com/spreadsheets/d/1SX6NBoVAgQJ6U1MVXOaj8PK2l7WJ3RER9xtqwdhxkhw/edit#gid=346597447"",""จันทบุรี!I543"")"),0)</f>
        <v>0</v>
      </c>
      <c r="J648" s="537">
        <f ca="1">IFERROR(__xludf.DUMMYFUNCTION("IMPORTRANGE(""https://docs.google.com/spreadsheets/d/1SX6NBoVAgQJ6U1MVXOaj8PK2l7WJ3RER9xtqwdhxkhw/edit#gid=346597447"",""จันทบุรี!J543"")"),0)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IFERROR(__xludf.DUMMYFUNCTION("IMPORTRANGE(""https://docs.google.com/spreadsheets/d/1SX6NBoVAgQJ6U1MVXOaj8PK2l7WJ3RER9xtqwdhxkhw/edit#gid=346597447"",""จันทบุรี!L543"")"),0)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IFERROR(__xludf.DUMMYFUNCTION("IMPORTRANGE(""https://docs.google.com/spreadsheets/d/1SX6NBoVAgQJ6U1MVXOaj8PK2l7WJ3RER9xtqwdhxkhw/edit#gid=346597447"",""จันทบุรี!M543"")"),0)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IFERROR(__xludf.DUMMYFUNCTION("IMPORTRANGE(""https://docs.google.com/spreadsheets/d/1SX6NBoVAgQJ6U1MVXOaj8PK2l7WJ3RER9xtqwdhxkhw/edit#gid=346597447"",""จันทบุรี!I544"")"),0)</f>
        <v>0</v>
      </c>
      <c r="J649" s="537">
        <f ca="1">IFERROR(__xludf.DUMMYFUNCTION("IMPORTRANGE(""https://docs.google.com/spreadsheets/d/1SX6NBoVAgQJ6U1MVXOaj8PK2l7WJ3RER9xtqwdhxkhw/edit#gid=346597447"",""จันทบุรี!J544"")"),0)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IFERROR(__xludf.DUMMYFUNCTION("IMPORTRANGE(""https://docs.google.com/spreadsheets/d/1SX6NBoVAgQJ6U1MVXOaj8PK2l7WJ3RER9xtqwdhxkhw/edit#gid=346597447"",""จันทบุรี!L544"")"),0)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IFERROR(__xludf.DUMMYFUNCTION("IMPORTRANGE(""https://docs.google.com/spreadsheets/d/1SX6NBoVAgQJ6U1MVXOaj8PK2l7WJ3RER9xtqwdhxkhw/edit#gid=346597447"",""จันทบุรี!M544"")"),0)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IFERROR(__xludf.DUMMYFUNCTION("IMPORTRANGE(""https://docs.google.com/spreadsheets/d/1SX6NBoVAgQJ6U1MVXOaj8PK2l7WJ3RER9xtqwdhxkhw/edit#gid=346597447"",""จันทบุรี!I545"")"),11)</f>
        <v>11</v>
      </c>
      <c r="J650" s="537">
        <f ca="1">IFERROR(__xludf.DUMMYFUNCTION("IMPORTRANGE(""https://docs.google.com/spreadsheets/d/1SX6NBoVAgQJ6U1MVXOaj8PK2l7WJ3RER9xtqwdhxkhw/edit#gid=346597447"",""จันทบุรี!J545"")"),0)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IFERROR(__xludf.DUMMYFUNCTION("IMPORTRANGE(""https://docs.google.com/spreadsheets/d/1SX6NBoVAgQJ6U1MVXOaj8PK2l7WJ3RER9xtqwdhxkhw/edit#gid=346597447"",""จันทบุรี!L545"")"),55)</f>
        <v>55</v>
      </c>
      <c r="M650" s="522"/>
      <c r="N650" s="539">
        <f ca="1">IFERROR(__xludf.DUMMYFUNCTION("IMPORTRANGE(""https://docs.google.com/spreadsheets/d/1SX6NBoVAgQJ6U1MVXOaj8PK2l7WJ3RER9xtqwdhxkhw/edit#gid=346597447"",""จันทบุรี!M545"")"),0)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IFERROR(__xludf.DUMMYFUNCTION("IMPORTRANGE(""https://docs.google.com/spreadsheets/d/1SX6NBoVAgQJ6U1MVXOaj8PK2l7WJ3RER9xtqwdhxkhw/edit#gid=346597447"",""จันทบุรี!I546"")"),175)</f>
        <v>175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IFERROR(__xludf.DUMMYFUNCTION("IMPORTRANGE(""https://docs.google.com/spreadsheets/d/1SX6NBoVAgQJ6U1MVXOaj8PK2l7WJ3RER9xtqwdhxkhw/edit#gid=346597447"",""จันทบุรี!L546"")"),4375)</f>
        <v>4375</v>
      </c>
      <c r="M651" s="522"/>
      <c r="N651" s="539">
        <f ca="1">IFERROR(__xludf.DUMMYFUNCTION("IMPORTRANGE(""https://docs.google.com/spreadsheets/d/1SX6NBoVAgQJ6U1MVXOaj8PK2l7WJ3RER9xtqwdhxkhw/edit#gid=346597447"",""จันทบุรี!M546"")"),0)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IFERROR(__xludf.DUMMYFUNCTION("IMPORTRANGE(""https://docs.google.com/spreadsheets/d/1SX6NBoVAgQJ6U1MVXOaj8PK2l7WJ3RER9xtqwdhxkhw/edit#gid=346597447"",""จันทบุรี!J547"")"),0)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IFERROR(__xludf.DUMMYFUNCTION("IMPORTRANGE(""https://docs.google.com/spreadsheets/d/1SX6NBoVAgQJ6U1MVXOaj8PK2l7WJ3RER9xtqwdhxkhw/edit#gid=346597447"",""จันทบุรี!J548"")"),0)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IFERROR(__xludf.DUMMYFUNCTION("IMPORTRANGE(""https://docs.google.com/spreadsheets/d/1SX6NBoVAgQJ6U1MVXOaj8PK2l7WJ3RER9xtqwdhxkhw/edit#gid=346597447"",""จันทบุรี!J550"")"),0)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IFERROR(__xludf.DUMMYFUNCTION("IMPORTRANGE(""https://docs.google.com/spreadsheets/d/1SX6NBoVAgQJ6U1MVXOaj8PK2l7WJ3RER9xtqwdhxkhw/edit#gid=346597447"",""จันทบุรี!J551"")"),0)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IFERROR(__xludf.DUMMYFUNCTION("IMPORTRANGE(""https://docs.google.com/spreadsheets/d/1SX6NBoVAgQJ6U1MVXOaj8PK2l7WJ3RER9xtqwdhxkhw/edit#gid=346597447"",""จันทบุรี!J552"")"),0)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IFERROR(__xludf.DUMMYFUNCTION("IMPORTRANGE(""https://docs.google.com/spreadsheets/d/1SX6NBoVAgQJ6U1MVXOaj8PK2l7WJ3RER9xtqwdhxkhw/edit#gid=346597447"",""จันทบุรี!J553"")"),0)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IFERROR(__xludf.DUMMYFUNCTION("IMPORTRANGE(""https://docs.google.com/spreadsheets/d/1SX6NBoVAgQJ6U1MVXOaj8PK2l7WJ3RER9xtqwdhxkhw/edit#gid=346597447"",""จันทบุรี!J554"")"),0)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IFERROR(__xludf.DUMMYFUNCTION("IMPORTRANGE(""https://docs.google.com/spreadsheets/d/1SX6NBoVAgQJ6U1MVXOaj8PK2l7WJ3RER9xtqwdhxkhw/edit#gid=346597447"",""จันทบุรี!J555"")"),0)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IFERROR(__xludf.DUMMYFUNCTION("IMPORTRANGE(""https://docs.google.com/spreadsheets/d/1SX6NBoVAgQJ6U1MVXOaj8PK2l7WJ3RER9xtqwdhxkhw/edit#gid=346597447"",""จันทบุรี!J556"")"),0)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IFERROR(__xludf.DUMMYFUNCTION("IMPORTRANGE(""https://docs.google.com/spreadsheets/d/1SX6NBoVAgQJ6U1MVXOaj8PK2l7WJ3RER9xtqwdhxkhw/edit#gid=346597447"",""จันทบุรี!L556"")"),1160)</f>
        <v>1160</v>
      </c>
      <c r="M661" s="522"/>
      <c r="N661" s="539">
        <f ca="1">IFERROR(__xludf.DUMMYFUNCTION("IMPORTRANGE(""https://docs.google.com/spreadsheets/d/1SX6NBoVAgQJ6U1MVXOaj8PK2l7WJ3RER9xtqwdhxkhw/edit#gid=346597447"",""จันทบุรี!M556"")"),0)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IFERROR(__xludf.DUMMYFUNCTION("IMPORTRANGE(""https://docs.google.com/spreadsheets/d/1SX6NBoVAgQJ6U1MVXOaj8PK2l7WJ3RER9xtqwdhxkhw/edit#gid=346597447"",""จันทบุรี!J557"")"),0)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IFERROR(__xludf.DUMMYFUNCTION("IMPORTRANGE(""https://docs.google.com/spreadsheets/d/1SX6NBoVAgQJ6U1MVXOaj8PK2l7WJ3RER9xtqwdhxkhw/edit#gid=346597447"",""จันทบุรี!I558"")"),29)</f>
        <v>29</v>
      </c>
      <c r="J663" s="537">
        <f ca="1">IFERROR(__xludf.DUMMYFUNCTION("IMPORTRANGE(""https://docs.google.com/spreadsheets/d/1SX6NBoVAgQJ6U1MVXOaj8PK2l7WJ3RER9xtqwdhxkhw/edit#gid=346597447"",""จันทบุรี!J558"")"),0)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IFERROR(__xludf.DUMMYFUNCTION("IMPORTRANGE(""https://docs.google.com/spreadsheets/d/1SX6NBoVAgQJ6U1MVXOaj8PK2l7WJ3RER9xtqwdhxkhw/edit#gid=346597447"",""จันทบุรี!I560"")"),2)</f>
        <v>2</v>
      </c>
      <c r="J665" s="537">
        <f ca="1">IFERROR(__xludf.DUMMYFUNCTION("IMPORTRANGE(""https://docs.google.com/spreadsheets/d/1SX6NBoVAgQJ6U1MVXOaj8PK2l7WJ3RER9xtqwdhxkhw/edit#gid=346597447"",""จันทบุรี!J560"")"),0)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IFERROR(__xludf.DUMMYFUNCTION("IMPORTRANGE(""https://docs.google.com/spreadsheets/d/1SX6NBoVAgQJ6U1MVXOaj8PK2l7WJ3RER9xtqwdhxkhw/edit#gid=346597447"",""จันทบุรี!L560"")"),240)</f>
        <v>240</v>
      </c>
      <c r="M665" s="522"/>
      <c r="N665" s="539">
        <f ca="1">IFERROR(__xludf.DUMMYFUNCTION("IMPORTRANGE(""https://docs.google.com/spreadsheets/d/1SX6NBoVAgQJ6U1MVXOaj8PK2l7WJ3RER9xtqwdhxkhw/edit#gid=346597447"",""จันทบุรี!M560"")"),0)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IFERROR(__xludf.DUMMYFUNCTION("IMPORTRANGE(""https://docs.google.com/spreadsheets/d/1SX6NBoVAgQJ6U1MVXOaj8PK2l7WJ3RER9xtqwdhxkhw/edit#gid=346597447"",""จันทบุรี!J561"")"),0)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IFERROR(__xludf.DUMMYFUNCTION("IMPORTRANGE(""https://docs.google.com/spreadsheets/d/1SX6NBoVAgQJ6U1MVXOaj8PK2l7WJ3RER9xtqwdhxkhw/edit#gid=346597447"",""จันทบุรี!J562"")"),0)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IFERROR(__xludf.DUMMYFUNCTION("IMPORTRANGE(""https://docs.google.com/spreadsheets/d/1SX6NBoVAgQJ6U1MVXOaj8PK2l7WJ3RER9xtqwdhxkhw/edit#gid=346597447"",""จันทบุรี!I563"")"),0)</f>
        <v>0</v>
      </c>
      <c r="J668" s="537">
        <f ca="1">IFERROR(__xludf.DUMMYFUNCTION("IMPORTRANGE(""https://docs.google.com/spreadsheets/d/1SX6NBoVAgQJ6U1MVXOaj8PK2l7WJ3RER9xtqwdhxkhw/edit#gid=346597447"",""จันทบุรี!J563"")"),0)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IFERROR(__xludf.DUMMYFUNCTION("IMPORTRANGE(""https://docs.google.com/spreadsheets/d/1SX6NBoVAgQJ6U1MVXOaj8PK2l7WJ3RER9xtqwdhxkhw/edit#gid=346597447"",""จันทบุรี!L563"")"),0)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IFERROR(__xludf.DUMMYFUNCTION("IMPORTRANGE(""https://docs.google.com/spreadsheets/d/1SX6NBoVAgQJ6U1MVXOaj8PK2l7WJ3RER9xtqwdhxkhw/edit#gid=346597447"",""จันทบุรี!M563"")"),0)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IFERROR(__xludf.DUMMYFUNCTION("IMPORTRANGE(""https://docs.google.com/spreadsheets/d/1SX6NBoVAgQJ6U1MVXOaj8PK2l7WJ3RER9xtqwdhxkhw/edit#gid=346597447"",""จันทบุรี!J564"")"),0)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IFERROR(__xludf.DUMMYFUNCTION("IMPORTRANGE(""https://docs.google.com/spreadsheets/d/1SX6NBoVAgQJ6U1MVXOaj8PK2l7WJ3RER9xtqwdhxkhw/edit#gid=346597447"",""จันทบุรี!J565"")"),0)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IFERROR(__xludf.DUMMYFUNCTION("IMPORTRANGE(""https://docs.google.com/spreadsheets/d/1SX6NBoVAgQJ6U1MVXOaj8PK2l7WJ3RER9xtqwdhxkhw/edit#gid=346597447"",""จันทบุรี!I566"")"),48)</f>
        <v>48</v>
      </c>
      <c r="J671" s="537">
        <f ca="1">J674+J677</f>
        <v>48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IFERROR(__xludf.DUMMYFUNCTION("IMPORTRANGE(""https://docs.google.com/spreadsheets/d/1SX6NBoVAgQJ6U1MVXOaj8PK2l7WJ3RER9xtqwdhxkhw/edit#gid=346597447"",""จันทบุรี!L566"")"),3840)</f>
        <v>3840</v>
      </c>
      <c r="M671" s="522"/>
      <c r="N671" s="539">
        <f ca="1">IFERROR(__xludf.DUMMYFUNCTION("IMPORTRANGE(""https://docs.google.com/spreadsheets/d/1SX6NBoVAgQJ6U1MVXOaj8PK2l7WJ3RER9xtqwdhxkhw/edit#gid=346597447"",""จันทบุรี!M566"")"),0)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IFERROR(__xludf.DUMMYFUNCTION("IMPORTRANGE(""https://docs.google.com/spreadsheets/d/1SX6NBoVAgQJ6U1MVXOaj8PK2l7WJ3RER9xtqwdhxkhw/edit#gid=346597447"",""จันทบุรี!J567"")"),1)</f>
        <v>1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IFERROR(__xludf.DUMMYFUNCTION("IMPORTRANGE(""https://docs.google.com/spreadsheets/d/1SX6NBoVAgQJ6U1MVXOaj8PK2l7WJ3RER9xtqwdhxkhw/edit#gid=346597447"",""จันทบุรี!J568"")"),1)</f>
        <v>1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IFERROR(__xludf.DUMMYFUNCTION("IMPORTRANGE(""https://docs.google.com/spreadsheets/d/1SX6NBoVAgQJ6U1MVXOaj8PK2l7WJ3RER9xtqwdhxkhw/edit#gid=346597447"",""จันทบุรี!J569"")"),7)</f>
        <v>7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IFERROR(__xludf.DUMMYFUNCTION("IMPORTRANGE(""https://docs.google.com/spreadsheets/d/1SX6NBoVAgQJ6U1MVXOaj8PK2l7WJ3RER9xtqwdhxkhw/edit#gid=346597447"",""จันทบุรี!J570"")"),4)</f>
        <v>4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IFERROR(__xludf.DUMMYFUNCTION("IMPORTRANGE(""https://docs.google.com/spreadsheets/d/1SX6NBoVAgQJ6U1MVXOaj8PK2l7WJ3RER9xtqwdhxkhw/edit#gid=346597447"",""จันทบุรี!J571"")"),4)</f>
        <v>4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IFERROR(__xludf.DUMMYFUNCTION("IMPORTRANGE(""https://docs.google.com/spreadsheets/d/1SX6NBoVAgQJ6U1MVXOaj8PK2l7WJ3RER9xtqwdhxkhw/edit#gid=346597447"",""จันทบุรี!J572"")"),41)</f>
        <v>41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7688951</v>
      </c>
      <c r="M8" s="23">
        <f t="shared" ca="1" si="0"/>
        <v>5069564</v>
      </c>
      <c r="N8" s="23">
        <f t="shared" ca="1" si="0"/>
        <v>6225978.75</v>
      </c>
      <c r="O8" s="22">
        <f t="shared" ref="O8:O16" ca="1" si="1">IF(L8&gt;0,N8*100/L8,0)</f>
        <v>80.973057963303447</v>
      </c>
      <c r="P8" s="22">
        <f t="shared" ref="P8:P16" ca="1" si="2">IF(M8&gt;0,N8*100/M8,0)</f>
        <v>122.81093107809666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7688951</v>
      </c>
      <c r="M10" s="30">
        <f t="shared" ca="1" si="4"/>
        <v>5069564</v>
      </c>
      <c r="N10" s="30">
        <f t="shared" ca="1" si="4"/>
        <v>6225978.75</v>
      </c>
      <c r="O10" s="29">
        <f t="shared" ca="1" si="1"/>
        <v>80.973057963303447</v>
      </c>
      <c r="P10" s="29">
        <f t="shared" ca="1" si="2"/>
        <v>122.81093107809666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6445551</v>
      </c>
      <c r="M12" s="38">
        <f t="shared" ca="1" si="6"/>
        <v>3826164</v>
      </c>
      <c r="N12" s="38">
        <f t="shared" ca="1" si="6"/>
        <v>4994578.75</v>
      </c>
      <c r="O12" s="38">
        <f t="shared" ca="1" si="1"/>
        <v>77.488778694017</v>
      </c>
      <c r="P12" s="38">
        <f t="shared" ca="1" si="2"/>
        <v>130.53749786992927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2298800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4146751</v>
      </c>
      <c r="M14" s="38">
        <f t="shared" si="8"/>
        <v>0</v>
      </c>
      <c r="N14" s="38">
        <f t="shared" ca="1" si="8"/>
        <v>1868232.3800000001</v>
      </c>
      <c r="O14" s="38">
        <f t="shared" ca="1" si="1"/>
        <v>45.052919261368721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1243400</v>
      </c>
      <c r="M16" s="38">
        <f t="shared" ca="1" si="10"/>
        <v>1243400</v>
      </c>
      <c r="N16" s="38">
        <f t="shared" ca="1" si="10"/>
        <v>1231400</v>
      </c>
      <c r="O16" s="49">
        <f t="shared" ca="1" si="1"/>
        <v>99.034904294675883</v>
      </c>
      <c r="P16" s="49">
        <f t="shared" ca="1" si="2"/>
        <v>99.034904294675883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4994032</v>
      </c>
      <c r="M18" s="23">
        <f t="shared" ca="1" si="11"/>
        <v>5069564</v>
      </c>
      <c r="N18" s="23">
        <f t="shared" ca="1" si="11"/>
        <v>4357746.37</v>
      </c>
      <c r="O18" s="22">
        <f t="shared" ref="O18:O20" ca="1" si="12">IF(L18&gt;0,N18*100/L18,0)</f>
        <v>87.259079837694273</v>
      </c>
      <c r="P18" s="22">
        <f t="shared" ref="P18:P26" ca="1" si="13">IF(M18&gt;0,N18*100/M18,0)</f>
        <v>85.958997065625368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4994032</v>
      </c>
      <c r="M20" s="30">
        <f t="shared" ca="1" si="15"/>
        <v>5069564</v>
      </c>
      <c r="N20" s="30">
        <f t="shared" ca="1" si="15"/>
        <v>4357746.37</v>
      </c>
      <c r="O20" s="29">
        <f t="shared" ca="1" si="12"/>
        <v>87.259079837694273</v>
      </c>
      <c r="P20" s="29">
        <f t="shared" ca="1" si="13"/>
        <v>85.958997065625368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3750632</v>
      </c>
      <c r="M22" s="41">
        <f t="shared" ca="1" si="18"/>
        <v>3826164</v>
      </c>
      <c r="N22" s="38">
        <f t="shared" ca="1" si="18"/>
        <v>3126346.37</v>
      </c>
      <c r="O22" s="38">
        <f t="shared" ca="1" si="17"/>
        <v>83.355188405580719</v>
      </c>
      <c r="P22" s="38">
        <f t="shared" ca="1" si="13"/>
        <v>81.70968024371146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2298800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1451832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1243400</v>
      </c>
      <c r="M26" s="49">
        <f t="shared" ca="1" si="22"/>
        <v>1243400</v>
      </c>
      <c r="N26" s="49">
        <f t="shared" ca="1" si="22"/>
        <v>1231400</v>
      </c>
      <c r="O26" s="49">
        <f t="shared" ca="1" si="17"/>
        <v>99.034904294675883</v>
      </c>
      <c r="P26" s="49">
        <f t="shared" ca="1" si="13"/>
        <v>99.034904294675883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2694919</v>
      </c>
      <c r="M28" s="23">
        <f t="shared" si="23"/>
        <v>0</v>
      </c>
      <c r="N28" s="23">
        <f t="shared" ca="1" si="23"/>
        <v>1868232.3800000001</v>
      </c>
      <c r="O28" s="22">
        <f t="shared" ref="O28:O30" ca="1" si="24">IF(L28&gt;0,N28*100/L28,0)</f>
        <v>69.324249819753391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2694919</v>
      </c>
      <c r="M30" s="30">
        <f t="shared" si="27"/>
        <v>0</v>
      </c>
      <c r="N30" s="30">
        <f t="shared" ca="1" si="27"/>
        <v>1868232.3800000001</v>
      </c>
      <c r="O30" s="29">
        <f t="shared" ca="1" si="24"/>
        <v>69.324249819753391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2694919</v>
      </c>
      <c r="M32" s="38">
        <f t="shared" si="30"/>
        <v>0</v>
      </c>
      <c r="N32" s="38">
        <f t="shared" ca="1" si="30"/>
        <v>1868232.3800000001</v>
      </c>
      <c r="O32" s="38">
        <f t="shared" ca="1" si="29"/>
        <v>69.324249819753391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2694919</v>
      </c>
      <c r="M34" s="38">
        <f t="shared" si="32"/>
        <v>0</v>
      </c>
      <c r="N34" s="38">
        <f t="shared" ca="1" si="32"/>
        <v>1868232.3800000001</v>
      </c>
      <c r="O34" s="38">
        <f t="shared" ca="1" si="29"/>
        <v>69.324249819753391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4994032</v>
      </c>
      <c r="M37" s="54">
        <f t="shared" ca="1" si="33"/>
        <v>5069564</v>
      </c>
      <c r="N37" s="54">
        <f t="shared" ca="1" si="33"/>
        <v>4357746.37</v>
      </c>
      <c r="O37" s="55">
        <f t="shared" ca="1" si="29"/>
        <v>87.259079837694273</v>
      </c>
      <c r="P37" s="55">
        <f t="shared" ca="1" si="25"/>
        <v>85.958997065625368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2062100</v>
      </c>
      <c r="N41" s="78">
        <f t="shared" ca="1" si="34"/>
        <v>1854278.3900000001</v>
      </c>
      <c r="O41" s="77">
        <f t="shared" ref="O41:O43" ca="1" si="35">IF(L41&gt;0,N41*100/L41,0)</f>
        <v>89.921846176228115</v>
      </c>
      <c r="P41" s="77">
        <f t="shared" ref="P41:P43" ca="1" si="36">IF(M41&gt;0,N41*100/M41,0)</f>
        <v>89.921846176228115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2062100</v>
      </c>
      <c r="N43" s="78">
        <f t="shared" ca="1" si="38"/>
        <v>1854278.3900000001</v>
      </c>
      <c r="O43" s="77">
        <f t="shared" ca="1" si="35"/>
        <v>89.921846176228115</v>
      </c>
      <c r="P43" s="77">
        <f t="shared" ca="1" si="36"/>
        <v>89.921846176228115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928100</v>
      </c>
      <c r="M45" s="49">
        <f ca="1">IFERROR(__xludf.DUMMYFUNCTION("IMPORTRANGE(""https://docs.google.com/spreadsheets/d/1Yj_ptqi66GCucihVvJfMjLAmec39IyEx_6qawtMGysU/edit?usp=sharing"",""สบก!Q61"")"),928100)</f>
        <v>928100</v>
      </c>
      <c r="N45" s="49">
        <f ca="1">IFERROR(__xludf.DUMMYFUNCTION("IMPORTRANGE(""https://docs.google.com/spreadsheets/d/1Yj_ptqi66GCucihVvJfMjLAmec39IyEx_6qawtMGysU/edit?usp=sharing"",""สบก!R61"")"),732278.39)</f>
        <v>732278.39</v>
      </c>
      <c r="O45" s="38">
        <f ca="1">IF(L45&gt;0,N45*100/L45,0)</f>
        <v>78.900807025105053</v>
      </c>
      <c r="P45" s="38">
        <f ca="1">IF(M45&gt;0,N45*100/M45,0)</f>
        <v>78.900807025105053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IFERROR(__xludf.DUMMYFUNCTION("IMPORTRANGE(""https://docs.google.com/spreadsheets/d/1Yj_ptqi66GCucihVvJfMjLAmec39IyEx_6qawtMGysU/edit?usp=sharing"",""สบก!M61"")"),928100)</f>
        <v>928100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IFERROR(__xludf.DUMMYFUNCTION("IMPORTRANGE(""https://docs.google.com/spreadsheets/d/1Yj_ptqi66GCucihVvJfMjLAmec39IyEx_6qawtMGysU/edit?usp=sharing"",""สบก!O61"")"),1134000)</f>
        <v>1134000</v>
      </c>
      <c r="M49" s="49">
        <f ca="1">L49</f>
        <v>1134000</v>
      </c>
      <c r="N49" s="49">
        <f ca="1">IFERROR(__xludf.DUMMYFUNCTION("IMPORTRANGE(""https://docs.google.com/spreadsheets/d/1Yj_ptqi66GCucihVvJfMjLAmec39IyEx_6qawtMGysU/edit?usp=sharing"",""สบก!S61"")"),1122000)</f>
        <v>1122000</v>
      </c>
      <c r="O49" s="49">
        <f ca="1">IF(L49&gt;0,N49*100/L49,0)</f>
        <v>98.941798941798936</v>
      </c>
      <c r="P49" s="49">
        <f ca="1">IF(M49&gt;0,N49*100/M49,0)</f>
        <v>98.941798941798936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530000</v>
      </c>
      <c r="M53" s="121">
        <f t="shared" ca="1" si="39"/>
        <v>564652</v>
      </c>
      <c r="N53" s="121">
        <f t="shared" ca="1" si="39"/>
        <v>475814</v>
      </c>
      <c r="O53" s="120">
        <f t="shared" ref="O53:O55" ca="1" si="40">IF(L53&gt;0,N53*100/L53,0)</f>
        <v>89.776226415094342</v>
      </c>
      <c r="P53" s="120">
        <f t="shared" ref="P53:P55" ca="1" si="41">IF(M53&gt;0,N53*100/M53,0)</f>
        <v>84.266769620934667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530000</v>
      </c>
      <c r="M55" s="121">
        <f t="shared" ca="1" si="43"/>
        <v>564652</v>
      </c>
      <c r="N55" s="121">
        <f t="shared" ca="1" si="43"/>
        <v>475814</v>
      </c>
      <c r="O55" s="120">
        <f t="shared" ca="1" si="40"/>
        <v>89.776226415094342</v>
      </c>
      <c r="P55" s="120">
        <f t="shared" ca="1" si="41"/>
        <v>84.266769620934667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530000</v>
      </c>
      <c r="M57" s="49">
        <f ca="1">IFERROR(__xludf.DUMMYFUNCTION("IMPORTRANGE(""https://docs.google.com/spreadsheets/d/1Yj_ptqi66GCucihVvJfMjLAmec39IyEx_6qawtMGysU/edit?usp=sharing"",""สบก!Z61"")"),564652)</f>
        <v>564652</v>
      </c>
      <c r="N57" s="49">
        <f ca="1">IFERROR(__xludf.DUMMYFUNCTION("IMPORTRANGE(""https://docs.google.com/spreadsheets/d/1Yj_ptqi66GCucihVvJfMjLAmec39IyEx_6qawtMGysU/edit?usp=sharing"",""สบก!AA61"")"),475814)</f>
        <v>475814</v>
      </c>
      <c r="O57" s="38">
        <f ca="1">IF(L57&gt;0,N57*100/L57,0)</f>
        <v>89.776226415094342</v>
      </c>
      <c r="P57" s="38">
        <f ca="1">IF(M57&gt;0,N57*100/M57,0)</f>
        <v>84.266769620934667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IFERROR(__xludf.DUMMYFUNCTION("IMPORTRANGE(""https://docs.google.com/spreadsheets/d/1Yj_ptqi66GCucihVvJfMjLAmec39IyEx_6qawtMGysU/edit?usp=sharing"",""สบก!V61"")"),530000)</f>
        <v>530000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IFERROR(__xludf.DUMMYFUNCTION("IMPORTRANGE(""https://docs.google.com/spreadsheets/d/1Yj_ptqi66GCucihVvJfMjLAmec39IyEx_6qawtMGysU/edit?usp=sharing"",""สบก!X61"")"),0)</f>
        <v>0</v>
      </c>
      <c r="M61" s="49"/>
      <c r="N61" s="49">
        <f ca="1">IFERROR(__xludf.DUMMYFUNCTION("IMPORTRANGE(""https://docs.google.com/spreadsheets/d/1Yj_ptqi66GCucihVvJfMjLAmec39IyEx_6qawtMGysU/edit?usp=sharing"",""สบก!AB61"")"),0)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IFERROR(__xludf.DUMMYFUNCTION("IMPORTRANGE(""https://docs.google.com/spreadsheets/d/1SX6NBoVAgQJ6U1MVXOaj8PK2l7WJ3RER9xtqwdhxkhw/edit?usp=sharing"",""ฉะเชิงเทรา!I9"")"),0)</f>
        <v>0</v>
      </c>
      <c r="J64" s="142">
        <f ca="1">IFERROR(__xludf.DUMMYFUNCTION("IMPORTRANGE(""https://docs.google.com/spreadsheets/d/1SX6NBoVAgQJ6U1MVXOaj8PK2l7WJ3RER9xtqwdhxkhw/edit?usp=sharing"",""ฉะเชิงเทรา!J9"")"),0)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IFERROR(__xludf.DUMMYFUNCTION("IMPORTRANGE(""https://docs.google.com/spreadsheets/d/1SX6NBoVAgQJ6U1MVXOaj8PK2l7WJ3RER9xtqwdhxkhw/edit?usp=sharing"",""ฉะเชิงเทรา!I10"")"),0)</f>
        <v>0</v>
      </c>
      <c r="J65" s="142">
        <f ca="1">IFERROR(__xludf.DUMMYFUNCTION("IMPORTRANGE(""https://docs.google.com/spreadsheets/d/1SX6NBoVAgQJ6U1MVXOaj8PK2l7WJ3RER9xtqwdhxkhw/edit?usp=sharing"",""ฉะเชิงเทรา!J10"")"),0)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4880</v>
      </c>
      <c r="N66" s="152">
        <f t="shared" ca="1" si="45"/>
        <v>4880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4880</v>
      </c>
      <c r="N68" s="157">
        <f t="shared" ca="1" si="49"/>
        <v>4880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IFERROR(__xludf.DUMMYFUNCTION("IMPORTRANGE(""https://docs.google.com/spreadsheets/d/1Yj_ptqi66GCucihVvJfMjLAmec39IyEx_6qawtMGysU/edit?usp=sharing"",""สบก!AI61"")"),4880)</f>
        <v>4880</v>
      </c>
      <c r="N70" s="169">
        <f ca="1">IFERROR(__xludf.DUMMYFUNCTION("IMPORTRANGE(""https://docs.google.com/spreadsheets/d/1Yj_ptqi66GCucihVvJfMjLAmec39IyEx_6qawtMGysU/edit?usp=sharing"",""สบก!AJ61"")"),4880)</f>
        <v>4880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IFERROR(__xludf.DUMMYFUNCTION("IMPORTRANGE(""https://docs.google.com/spreadsheets/d/1Yj_ptqi66GCucihVvJfMjLAmec39IyEx_6qawtMGysU/edit?usp=sharing"",""สบก!AE61"")"),0)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IFERROR(__xludf.DUMMYFUNCTION("IMPORTRANGE(""https://docs.google.com/spreadsheets/d/1Yj_ptqi66GCucihVvJfMjLAmec39IyEx_6qawtMGysU/edit?usp=sharing"",""สบก!AF61"")"),0)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IFERROR(__xludf.DUMMYFUNCTION("IMPORTRANGE(""https://docs.google.com/spreadsheets/d/1Yj_ptqi66GCucihVvJfMjLAmec39IyEx_6qawtMGysU/edit?usp=sharing"",""สบก!AG61"")"),0)</f>
        <v>0</v>
      </c>
      <c r="M74" s="49"/>
      <c r="N74" s="49">
        <f ca="1">IFERROR(__xludf.DUMMYFUNCTION("IMPORTRANGE(""https://docs.google.com/spreadsheets/d/1Yj_ptqi66GCucihVvJfMjLAmec39IyEx_6qawtMGysU/edit?usp=sharing"",""สบก!AK61"")"),0)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IFERROR(__xludf.DUMMYFUNCTION("IMPORTRANGE(""https://docs.google.com/spreadsheets/d/1SX6NBoVAgQJ6U1MVXOaj8PK2l7WJ3RER9xtqwdhxkhw/edit?usp=sharing"",""ฉะเชิงเทรา!J16"")"),0)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IFERROR(__xludf.DUMMYFUNCTION("IMPORTRANGE(""https://docs.google.com/spreadsheets/d/1SX6NBoVAgQJ6U1MVXOaj8PK2l7WJ3RER9xtqwdhxkhw/edit?usp=sharing"",""ฉะเชิงเทรา!J17"")"),0)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IFERROR(__xludf.DUMMYFUNCTION("IMPORTRANGE(""https://docs.google.com/spreadsheets/d/1SX6NBoVAgQJ6U1MVXOaj8PK2l7WJ3RER9xtqwdhxkhw/edit?usp=sharing"",""ฉะเชิงเทรา!J18"")"),0)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IFERROR(__xludf.DUMMYFUNCTION("IMPORTRANGE(""https://docs.google.com/spreadsheets/d/1SX6NBoVAgQJ6U1MVXOaj8PK2l7WJ3RER9xtqwdhxkhw/edit?usp=sharing"",""ฉะเชิงเทรา!J19"")"),0)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IFERROR(__xludf.DUMMYFUNCTION("IMPORTRANGE(""https://docs.google.com/spreadsheets/d/1SX6NBoVAgQJ6U1MVXOaj8PK2l7WJ3RER9xtqwdhxkhw/edit?usp=sharing"",""ฉะเชิงเทรา!I20"")"),0)</f>
        <v>0</v>
      </c>
      <c r="J80" s="201">
        <f ca="1">IFERROR(__xludf.DUMMYFUNCTION("IMPORTRANGE(""https://docs.google.com/spreadsheets/d/1SX6NBoVAgQJ6U1MVXOaj8PK2l7WJ3RER9xtqwdhxkhw/edit?usp=sharing"",""ฉะเชิงเทรา!J20"")"),0)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IFERROR(__xludf.DUMMYFUNCTION("IMPORTRANGE(""https://docs.google.com/spreadsheets/d/1SX6NBoVAgQJ6U1MVXOaj8PK2l7WJ3RER9xtqwdhxkhw/edit?usp=sharing"",""ฉะเชิงเทรา!I21"")"),0)</f>
        <v>0</v>
      </c>
      <c r="J81" s="201">
        <f ca="1">IFERROR(__xludf.DUMMYFUNCTION("IMPORTRANGE(""https://docs.google.com/spreadsheets/d/1SX6NBoVAgQJ6U1MVXOaj8PK2l7WJ3RER9xtqwdhxkhw/edit?usp=sharing"",""ฉะเชิงเทรา!J21"")"),0)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IFERROR(__xludf.DUMMYFUNCTION("IMPORTRANGE(""https://docs.google.com/spreadsheets/d/1SX6NBoVAgQJ6U1MVXOaj8PK2l7WJ3RER9xtqwdhxkhw/edit?usp=sharing"",""ฉะเชิงเทรา!I22"")"),0)</f>
        <v>0</v>
      </c>
      <c r="J82" s="204">
        <f ca="1">IFERROR(__xludf.DUMMYFUNCTION("IMPORTRANGE(""https://docs.google.com/spreadsheets/d/1SX6NBoVAgQJ6U1MVXOaj8PK2l7WJ3RER9xtqwdhxkhw/edit?usp=sharing"",""ฉะเชิงเทรา!J22"")"),0)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IFERROR(__xludf.DUMMYFUNCTION("IMPORTRANGE(""https://docs.google.com/spreadsheets/d/1SX6NBoVAgQJ6U1MVXOaj8PK2l7WJ3RER9xtqwdhxkhw/edit?usp=sharing"",""ฉะเชิงเทรา!I23"")"),0)</f>
        <v>0</v>
      </c>
      <c r="J83" s="204">
        <f ca="1">IFERROR(__xludf.DUMMYFUNCTION("IMPORTRANGE(""https://docs.google.com/spreadsheets/d/1SX6NBoVAgQJ6U1MVXOaj8PK2l7WJ3RER9xtqwdhxkhw/edit?usp=sharing"",""ฉะเชิงเทรา!J23"")"),0)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IFERROR(__xludf.DUMMYFUNCTION("IMPORTRANGE(""https://docs.google.com/spreadsheets/d/1SX6NBoVAgQJ6U1MVXOaj8PK2l7WJ3RER9xtqwdhxkhw/edit?usp=sharing"",""ฉะเชิงเทรา!I24"")"),0)</f>
        <v>0</v>
      </c>
      <c r="J84" s="189">
        <f ca="1">IFERROR(__xludf.DUMMYFUNCTION("IMPORTRANGE(""https://docs.google.com/spreadsheets/d/1SX6NBoVAgQJ6U1MVXOaj8PK2l7WJ3RER9xtqwdhxkhw/edit?usp=sharing"",""ฉะเชิงเทรา!J24"")"),0)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IFERROR(__xludf.DUMMYFUNCTION("IMPORTRANGE(""https://docs.google.com/spreadsheets/d/1SX6NBoVAgQJ6U1MVXOaj8PK2l7WJ3RER9xtqwdhxkhw/edit?usp=sharing"",""ฉะเชิงเทรา!I25"")"),0)</f>
        <v>0</v>
      </c>
      <c r="J85" s="189">
        <f ca="1">IFERROR(__xludf.DUMMYFUNCTION("IMPORTRANGE(""https://docs.google.com/spreadsheets/d/1SX6NBoVAgQJ6U1MVXOaj8PK2l7WJ3RER9xtqwdhxkhw/edit?usp=sharing"",""ฉะเชิงเทรา!J25"")"),0)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IFERROR(__xludf.DUMMYFUNCTION("IMPORTRANGE(""https://docs.google.com/spreadsheets/d/1SX6NBoVAgQJ6U1MVXOaj8PK2l7WJ3RER9xtqwdhxkhw/edit?usp=sharing"",""ฉะเชิงเทรา!I26"")"),0)</f>
        <v>0</v>
      </c>
      <c r="J86" s="204">
        <f ca="1">IFERROR(__xludf.DUMMYFUNCTION("IMPORTRANGE(""https://docs.google.com/spreadsheets/d/1SX6NBoVAgQJ6U1MVXOaj8PK2l7WJ3RER9xtqwdhxkhw/edit?usp=sharing"",""ฉะเชิงเทรา!J26"")"),0)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IFERROR(__xludf.DUMMYFUNCTION("IMPORTRANGE(""https://docs.google.com/spreadsheets/d/1SX6NBoVAgQJ6U1MVXOaj8PK2l7WJ3RER9xtqwdhxkhw/edit?usp=sharing"",""ฉะเชิงเทรา!I27"")"),0)</f>
        <v>0</v>
      </c>
      <c r="J87" s="204">
        <f ca="1">IFERROR(__xludf.DUMMYFUNCTION("IMPORTRANGE(""https://docs.google.com/spreadsheets/d/1SX6NBoVAgQJ6U1MVXOaj8PK2l7WJ3RER9xtqwdhxkhw/edit?usp=sharing"",""ฉะเชิงเทรา!J27"")"),0)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IFERROR(__xludf.DUMMYFUNCTION("IMPORTRANGE(""https://docs.google.com/spreadsheets/d/1SX6NBoVAgQJ6U1MVXOaj8PK2l7WJ3RER9xtqwdhxkhw/edit?usp=sharing"",""ฉะเชิงเทรา!I28"")"),0)</f>
        <v>0</v>
      </c>
      <c r="J88" s="204">
        <f ca="1">IFERROR(__xludf.DUMMYFUNCTION("IMPORTRANGE(""https://docs.google.com/spreadsheets/d/1SX6NBoVAgQJ6U1MVXOaj8PK2l7WJ3RER9xtqwdhxkhw/edit?usp=sharing"",""ฉะเชิงเทรา!J28"")"),0)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IFERROR(__xludf.DUMMYFUNCTION("IMPORTRANGE(""https://docs.google.com/spreadsheets/d/1SX6NBoVAgQJ6U1MVXOaj8PK2l7WJ3RER9xtqwdhxkhw/edit?usp=sharing"",""ฉะเชิงเทรา!J29"")"),0)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IFERROR(__xludf.DUMMYFUNCTION("IMPORTRANGE(""https://docs.google.com/spreadsheets/d/1SX6NBoVAgQJ6U1MVXOaj8PK2l7WJ3RER9xtqwdhxkhw/edit?usp=sharing"",""ฉะเชิงเทรา!J30"")"),0)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IFERROR(__xludf.DUMMYFUNCTION("IMPORTRANGE(""https://docs.google.com/spreadsheets/d/1SX6NBoVAgQJ6U1MVXOaj8PK2l7WJ3RER9xtqwdhxkhw/edit?usp=sharing"",""ฉะเชิงเทรา!I32"")"),4)</f>
        <v>4</v>
      </c>
      <c r="J92" s="142">
        <f ca="1">IFERROR(__xludf.DUMMYFUNCTION("IMPORTRANGE(""https://docs.google.com/spreadsheets/d/1SX6NBoVAgQJ6U1MVXOaj8PK2l7WJ3RER9xtqwdhxkhw/edit?usp=sharing"",""ฉะเชิงเทรา!J32"")"),4)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IFERROR(__xludf.DUMMYFUNCTION("IMPORTRANGE(""https://docs.google.com/spreadsheets/d/1SX6NBoVAgQJ6U1MVXOaj8PK2l7WJ3RER9xtqwdhxkhw/edit?usp=sharing"",""ฉะเชิงเทรา!I33"")"),1)</f>
        <v>1</v>
      </c>
      <c r="J93" s="142">
        <f ca="1">IFERROR(__xludf.DUMMYFUNCTION("IMPORTRANGE(""https://docs.google.com/spreadsheets/d/1SX6NBoVAgQJ6U1MVXOaj8PK2l7WJ3RER9xtqwdhxkhw/edit?usp=sharing"",""ฉะเชิงเทรา!J33"")"),1)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175655</v>
      </c>
      <c r="O94" s="151">
        <f t="shared" ref="O94:O96" ca="1" si="53">IF(L94&gt;0,N94*100/L94,0)</f>
        <v>81.890442890442884</v>
      </c>
      <c r="P94" s="151">
        <f t="shared" ref="P94:P96" ca="1" si="54">IF(M94&gt;0,N94*100/M94,0)</f>
        <v>81.890442890442884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175655</v>
      </c>
      <c r="O96" s="156">
        <f t="shared" ca="1" si="53"/>
        <v>81.890442890442884</v>
      </c>
      <c r="P96" s="156">
        <f t="shared" ca="1" si="54"/>
        <v>81.890442890442884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IFERROR(__xludf.DUMMYFUNCTION("IMPORTRANGE(""https://docs.google.com/spreadsheets/d/1Yj_ptqi66GCucihVvJfMjLAmec39IyEx_6qawtMGysU/edit?usp=sharing"",""สบก!AR61"")"),122100)</f>
        <v>122100</v>
      </c>
      <c r="N98" s="169">
        <f ca="1">IFERROR(__xludf.DUMMYFUNCTION("IMPORTRANGE(""https://docs.google.com/spreadsheets/d/1Yj_ptqi66GCucihVvJfMjLAmec39IyEx_6qawtMGysU/edit?usp=sharing"",""สบก!AS61"")"),83255)</f>
        <v>83255</v>
      </c>
      <c r="O98" s="169">
        <f ca="1">IF(L98&gt;0,N98*100/L98,0)</f>
        <v>68.185913185913179</v>
      </c>
      <c r="P98" s="169">
        <f ca="1">IF(M98&gt;0,N98*100/M98,0)</f>
        <v>68.185913185913179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IFERROR(__xludf.DUMMYFUNCTION("IMPORTRANGE(""https://docs.google.com/spreadsheets/d/1Yj_ptqi66GCucihVvJfMjLAmec39IyEx_6qawtMGysU/edit?usp=sharing"",""สบก!AP61"")"),92400)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IFERROR(__xludf.DUMMYFUNCTION("IMPORTRANGE(""https://docs.google.com/spreadsheets/d/1Yj_ptqi66GCucihVvJfMjLAmec39IyEx_6qawtMGysU/edit?usp=sharing"",""สบก!AT61"")"),92400)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IFERROR(__xludf.DUMMYFUNCTION("IMPORTRANGE(""https://docs.google.com/spreadsheets/d/1SX6NBoVAgQJ6U1MVXOaj8PK2l7WJ3RER9xtqwdhxkhw/edit?usp=sharing"",""ฉะเชิงเทรา!J39"")"),0)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IFERROR(__xludf.DUMMYFUNCTION("IMPORTRANGE(""https://docs.google.com/spreadsheets/d/1SX6NBoVAgQJ6U1MVXOaj8PK2l7WJ3RER9xtqwdhxkhw/edit?usp=sharing"",""ฉะเชิงเทรา!J40"")"),1)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IFERROR(__xludf.DUMMYFUNCTION("IMPORTRANGE(""https://docs.google.com/spreadsheets/d/1SX6NBoVAgQJ6U1MVXOaj8PK2l7WJ3RER9xtqwdhxkhw/edit?usp=sharing"",""ฉะเชิงเทรา!J41"")"),1)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IFERROR(__xludf.DUMMYFUNCTION("IMPORTRANGE(""https://docs.google.com/spreadsheets/d/1SX6NBoVAgQJ6U1MVXOaj8PK2l7WJ3RER9xtqwdhxkhw/edit?usp=sharing"",""ฉะเชิงเทรา!J42"")"),1)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IFERROR(__xludf.DUMMYFUNCTION("IMPORTRANGE(""https://docs.google.com/spreadsheets/d/1SX6NBoVAgQJ6U1MVXOaj8PK2l7WJ3RER9xtqwdhxkhw/edit?usp=sharing"",""ฉะเชิงเทรา!I43"")"),1)</f>
        <v>1</v>
      </c>
      <c r="J108" s="204">
        <f ca="1">IFERROR(__xludf.DUMMYFUNCTION("IMPORTRANGE(""https://docs.google.com/spreadsheets/d/1SX6NBoVAgQJ6U1MVXOaj8PK2l7WJ3RER9xtqwdhxkhw/edit?usp=sharing"",""ฉะเชิงเทรา!J43"")"),1)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IFERROR(__xludf.DUMMYFUNCTION("IMPORTRANGE(""https://docs.google.com/spreadsheets/d/1SX6NBoVAgQJ6U1MVXOaj8PK2l7WJ3RER9xtqwdhxkhw/edit?usp=sharing"",""ฉะเชิงเทรา!I44"")"),4)</f>
        <v>4</v>
      </c>
      <c r="J109" s="204">
        <f ca="1">IFERROR(__xludf.DUMMYFUNCTION("IMPORTRANGE(""https://docs.google.com/spreadsheets/d/1SX6NBoVAgQJ6U1MVXOaj8PK2l7WJ3RER9xtqwdhxkhw/edit?usp=sharing"",""ฉะเชิงเทรา!J44"")"),4)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IFERROR(__xludf.DUMMYFUNCTION("IMPORTRANGE(""https://docs.google.com/spreadsheets/d/1SX6NBoVAgQJ6U1MVXOaj8PK2l7WJ3RER9xtqwdhxkhw/edit?usp=sharing"",""ฉะเชิงเทรา!I45"")"),4)</f>
        <v>4</v>
      </c>
      <c r="J110" s="204">
        <f ca="1">IFERROR(__xludf.DUMMYFUNCTION("IMPORTRANGE(""https://docs.google.com/spreadsheets/d/1SX6NBoVAgQJ6U1MVXOaj8PK2l7WJ3RER9xtqwdhxkhw/edit?usp=sharing"",""ฉะเชิงเทรา!J45"")"),4)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IFERROR(__xludf.DUMMYFUNCTION("IMPORTRANGE(""https://docs.google.com/spreadsheets/d/1SX6NBoVAgQJ6U1MVXOaj8PK2l7WJ3RER9xtqwdhxkhw/edit?usp=sharing"",""ฉะเชิงเทรา!I46"")"),4)</f>
        <v>4</v>
      </c>
      <c r="J111" s="204">
        <f ca="1">IFERROR(__xludf.DUMMYFUNCTION("IMPORTRANGE(""https://docs.google.com/spreadsheets/d/1SX6NBoVAgQJ6U1MVXOaj8PK2l7WJ3RER9xtqwdhxkhw/edit?usp=sharing"",""ฉะเชิงเทรา!J46"")"),4)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IFERROR(__xludf.DUMMYFUNCTION("IMPORTRANGE(""https://docs.google.com/spreadsheets/d/1SX6NBoVAgQJ6U1MVXOaj8PK2l7WJ3RER9xtqwdhxkhw/edit?usp=sharing"",""ฉะเชิงเทรา!I47"")"),4)</f>
        <v>4</v>
      </c>
      <c r="J112" s="204">
        <f ca="1">IFERROR(__xludf.DUMMYFUNCTION("IMPORTRANGE(""https://docs.google.com/spreadsheets/d/1SX6NBoVAgQJ6U1MVXOaj8PK2l7WJ3RER9xtqwdhxkhw/edit?usp=sharing"",""ฉะเชิงเทรา!J47"")"),4)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IFERROR(__xludf.DUMMYFUNCTION("IMPORTRANGE(""https://docs.google.com/spreadsheets/d/1SX6NBoVAgQJ6U1MVXOaj8PK2l7WJ3RER9xtqwdhxkhw/edit?usp=sharing"",""ฉะเชิงเทรา!I48"")"),1)</f>
        <v>1</v>
      </c>
      <c r="J113" s="204">
        <f ca="1">IFERROR(__xludf.DUMMYFUNCTION("IMPORTRANGE(""https://docs.google.com/spreadsheets/d/1SX6NBoVAgQJ6U1MVXOaj8PK2l7WJ3RER9xtqwdhxkhw/edit?usp=sharing"",""ฉะเชิงเทรา!J48"")"),1)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IFERROR(__xludf.DUMMYFUNCTION("IMPORTRANGE(""https://docs.google.com/spreadsheets/d/1SX6NBoVAgQJ6U1MVXOaj8PK2l7WJ3RER9xtqwdhxkhw/edit?usp=sharing"",""ฉะเชิงเทรา!J49"")"),0)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IFERROR(__xludf.DUMMYFUNCTION("IMPORTRANGE(""https://docs.google.com/spreadsheets/d/1SX6NBoVAgQJ6U1MVXOaj8PK2l7WJ3RER9xtqwdhxkhw/edit?usp=sharing"",""ฉะเชิงเทรา!J50"")"),0)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IFERROR(__xludf.DUMMYFUNCTION("IMPORTRANGE(""https://docs.google.com/spreadsheets/d/1SX6NBoVAgQJ6U1MVXOaj8PK2l7WJ3RER9xtqwdhxkhw/edit?usp=sharing"",""ฉะเชิงเทรา!I52"")"),20)</f>
        <v>20</v>
      </c>
      <c r="J117" s="142">
        <f ca="1">IFERROR(__xludf.DUMMYFUNCTION("IMPORTRANGE(""https://docs.google.com/spreadsheets/d/1SX6NBoVAgQJ6U1MVXOaj8PK2l7WJ3RER9xtqwdhxkhw/edit?usp=sharing"",""ฉะเชิงเทรา!J52"")"),20)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83837</v>
      </c>
      <c r="M118" s="152">
        <f t="shared" ca="1" si="58"/>
        <v>83837</v>
      </c>
      <c r="N118" s="152">
        <f t="shared" ca="1" si="58"/>
        <v>74656</v>
      </c>
      <c r="O118" s="151">
        <f t="shared" ref="O118:O120" ca="1" si="59">IF(L118&gt;0,N118*100/L118,0)</f>
        <v>89.048987917029478</v>
      </c>
      <c r="P118" s="151">
        <f t="shared" ref="P118:P120" ca="1" si="60">IF(M118&gt;0,N118*100/M118,0)</f>
        <v>89.048987917029478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83837</v>
      </c>
      <c r="M120" s="157">
        <f t="shared" ca="1" si="62"/>
        <v>83837</v>
      </c>
      <c r="N120" s="157">
        <f t="shared" ca="1" si="62"/>
        <v>74656</v>
      </c>
      <c r="O120" s="156">
        <f t="shared" ca="1" si="59"/>
        <v>89.048987917029478</v>
      </c>
      <c r="P120" s="156">
        <f t="shared" ca="1" si="60"/>
        <v>89.048987917029478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83837</v>
      </c>
      <c r="M122" s="168">
        <f ca="1">IFERROR(__xludf.DUMMYFUNCTION("IMPORTRANGE(""https://docs.google.com/spreadsheets/d/1Yj_ptqi66GCucihVvJfMjLAmec39IyEx_6qawtMGysU/edit?usp=sharing"",""สบก!BA61"")"),83837)</f>
        <v>83837</v>
      </c>
      <c r="N122" s="169">
        <f ca="1">IFERROR(__xludf.DUMMYFUNCTION("IMPORTRANGE(""https://docs.google.com/spreadsheets/d/1Yj_ptqi66GCucihVvJfMjLAmec39IyEx_6qawtMGysU/edit?usp=sharing"",""สบก!BB61"")"),74656)</f>
        <v>74656</v>
      </c>
      <c r="O122" s="169">
        <f ca="1">IF(L122&gt;0,N122*100/L122,0)</f>
        <v>89.048987917029478</v>
      </c>
      <c r="P122" s="169">
        <f ca="1">IF(M122&gt;0,N122*100/M122,0)</f>
        <v>89.048987917029478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IFERROR(__xludf.DUMMYFUNCTION("IMPORTRANGE(""https://docs.google.com/spreadsheets/d/1Yj_ptqi66GCucihVvJfMjLAmec39IyEx_6qawtMGysU/edit?usp=sharing"",""สบก!AX61"")"),83837)</f>
        <v>83837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IFERROR(__xludf.DUMMYFUNCTION("IMPORTRANGE(""https://docs.google.com/spreadsheets/d/1Yj_ptqi66GCucihVvJfMjLAmec39IyEx_6qawtMGysU/edit?usp=sharing"",""สบก!AY61"")"),0)</f>
        <v>0</v>
      </c>
      <c r="M126" s="49"/>
      <c r="N126" s="49">
        <f ca="1">IFERROR(__xludf.DUMMYFUNCTION("IMPORTRANGE(""https://docs.google.com/spreadsheets/d/1Yj_ptqi66GCucihVvJfMjLAmec39IyEx_6qawtMGysU/edit?usp=sharing"",""สบก!BC61"")"),0)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IFERROR(__xludf.DUMMYFUNCTION("IMPORTRANGE(""https://docs.google.com/spreadsheets/d/1SX6NBoVAgQJ6U1MVXOaj8PK2l7WJ3RER9xtqwdhxkhw/edit?usp=sharing"",""ฉะเชิงเทรา!J58"")"),0)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IFERROR(__xludf.DUMMYFUNCTION("IMPORTRANGE(""https://docs.google.com/spreadsheets/d/1SX6NBoVAgQJ6U1MVXOaj8PK2l7WJ3RER9xtqwdhxkhw/edit?usp=sharing"",""ฉะเชิงเทรา!J59"")"),1)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IFERROR(__xludf.DUMMYFUNCTION("IMPORTRANGE(""https://docs.google.com/spreadsheets/d/1SX6NBoVAgQJ6U1MVXOaj8PK2l7WJ3RER9xtqwdhxkhw/edit?usp=sharing"",""ฉะเชิงเทรา!J60"")"),1)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IFERROR(__xludf.DUMMYFUNCTION("IMPORTRANGE(""https://docs.google.com/spreadsheets/d/1SX6NBoVAgQJ6U1MVXOaj8PK2l7WJ3RER9xtqwdhxkhw/edit?usp=sharing"",""ฉะเชิงเทรา!J61"")"),1)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IFERROR(__xludf.DUMMYFUNCTION("IMPORTRANGE(""https://docs.google.com/spreadsheets/d/1SX6NBoVAgQJ6U1MVXOaj8PK2l7WJ3RER9xtqwdhxkhw/edit?usp=sharing"",""ฉะเชิงเทรา!I62"")"),20)</f>
        <v>20</v>
      </c>
      <c r="J132" s="204">
        <f ca="1">IFERROR(__xludf.DUMMYFUNCTION("IMPORTRANGE(""https://docs.google.com/spreadsheets/d/1SX6NBoVAgQJ6U1MVXOaj8PK2l7WJ3RER9xtqwdhxkhw/edit?usp=sharing"",""ฉะเชิงเทรา!J62"")"),20)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IFERROR(__xludf.DUMMYFUNCTION("IMPORTRANGE(""https://docs.google.com/spreadsheets/d/1SX6NBoVAgQJ6U1MVXOaj8PK2l7WJ3RER9xtqwdhxkhw/edit?usp=sharing"",""ฉะเชิงเทรา!I63"")"),20)</f>
        <v>20</v>
      </c>
      <c r="J133" s="204">
        <f ca="1">IFERROR(__xludf.DUMMYFUNCTION("IMPORTRANGE(""https://docs.google.com/spreadsheets/d/1SX6NBoVAgQJ6U1MVXOaj8PK2l7WJ3RER9xtqwdhxkhw/edit?usp=sharing"",""ฉะเชิงเทรา!J63"")"),20)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IFERROR(__xludf.DUMMYFUNCTION("IMPORTRANGE(""https://docs.google.com/spreadsheets/d/1SX6NBoVAgQJ6U1MVXOaj8PK2l7WJ3RER9xtqwdhxkhw/edit?usp=sharing"",""ฉะเชิงเทรา!J64"")"),1)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IFERROR(__xludf.DUMMYFUNCTION("IMPORTRANGE(""https://docs.google.com/spreadsheets/d/1SX6NBoVAgQJ6U1MVXOaj8PK2l7WJ3RER9xtqwdhxkhw/edit?usp=sharing"",""ฉะเชิงเทรา!J65"")"),0)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IFERROR(__xludf.DUMMYFUNCTION("IMPORTRANGE(""https://docs.google.com/spreadsheets/d/1SX6NBoVAgQJ6U1MVXOaj8PK2l7WJ3RER9xtqwdhxkhw/edit?usp=sharing"",""ฉะเชิงเทรา!I68"")"),95)</f>
        <v>95</v>
      </c>
      <c r="J138" s="268">
        <f ca="1">IFERROR(__xludf.DUMMYFUNCTION("IMPORTRANGE(""https://docs.google.com/spreadsheets/d/1SX6NBoVAgQJ6U1MVXOaj8PK2l7WJ3RER9xtqwdhxkhw/edit?usp=sharing"",""ฉะเชิงเทรา!J68"")"),95)</f>
        <v>95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842400</v>
      </c>
      <c r="M140" s="152">
        <f t="shared" ca="1" si="64"/>
        <v>843400</v>
      </c>
      <c r="N140" s="152">
        <f t="shared" ca="1" si="64"/>
        <v>735600.11</v>
      </c>
      <c r="O140" s="151">
        <f t="shared" ref="O140:O142" ca="1" si="65">IF(L140&gt;0,N140*100/L140,0)</f>
        <v>87.321950379867047</v>
      </c>
      <c r="P140" s="151">
        <f t="shared" ref="P140:P142" ca="1" si="66">IF(M140&gt;0,N140*100/M140,0)</f>
        <v>87.218414749822145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842400</v>
      </c>
      <c r="M142" s="157">
        <f t="shared" ca="1" si="68"/>
        <v>843400</v>
      </c>
      <c r="N142" s="157">
        <f t="shared" ca="1" si="68"/>
        <v>735600.11</v>
      </c>
      <c r="O142" s="156">
        <f t="shared" ca="1" si="65"/>
        <v>87.321950379867047</v>
      </c>
      <c r="P142" s="156">
        <f t="shared" ca="1" si="66"/>
        <v>87.218414749822145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842400</v>
      </c>
      <c r="M144" s="168">
        <f ca="1">IFERROR(__xludf.DUMMYFUNCTION("IMPORTRANGE(""https://docs.google.com/spreadsheets/d/1Yj_ptqi66GCucihVvJfMjLAmec39IyEx_6qawtMGysU/edit?usp=sharing"",""สบก!BJ61"")"),843400)</f>
        <v>843400</v>
      </c>
      <c r="N144" s="169">
        <f ca="1">IFERROR(__xludf.DUMMYFUNCTION("IMPORTRANGE(""https://docs.google.com/spreadsheets/d/1Yj_ptqi66GCucihVvJfMjLAmec39IyEx_6qawtMGysU/edit?usp=sharing"",""สบก!BK61"")"),735600.11)</f>
        <v>735600.11</v>
      </c>
      <c r="O144" s="169">
        <f ca="1">IF(L144&gt;0,N144*100/L144,0)</f>
        <v>87.321950379867047</v>
      </c>
      <c r="P144" s="169">
        <f ca="1">IF(M144&gt;0,N144*100/M144,0)</f>
        <v>87.218414749822145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IFERROR(__xludf.DUMMYFUNCTION("IMPORTRANGE(""https://docs.google.com/spreadsheets/d/1Yj_ptqi66GCucihVvJfMjLAmec39IyEx_6qawtMGysU/edit?usp=sharing"",""สบก!BF61"")"),311500)</f>
        <v>311500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IFERROR(__xludf.DUMMYFUNCTION("IMPORTRANGE(""https://docs.google.com/spreadsheets/d/1Yj_ptqi66GCucihVvJfMjLAmec39IyEx_6qawtMGysU/edit?usp=sharing"",""สบก!BG61"")"),530900)</f>
        <v>530900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IFERROR(__xludf.DUMMYFUNCTION("IMPORTRANGE(""https://docs.google.com/spreadsheets/d/1Yj_ptqi66GCucihVvJfMjLAmec39IyEx_6qawtMGysU/edit?usp=sharing"",""สบก!BH61"")"),0)</f>
        <v>0</v>
      </c>
      <c r="M148" s="49"/>
      <c r="N148" s="49">
        <f ca="1">IFERROR(__xludf.DUMMYFUNCTION("IMPORTRANGE(""https://docs.google.com/spreadsheets/d/1Yj_ptqi66GCucihVvJfMjLAmec39IyEx_6qawtMGysU/edit?usp=sharing"",""สบก!BL61"")"),0)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IFERROR(__xludf.DUMMYFUNCTION("IMPORTRANGE(""https://docs.google.com/spreadsheets/d/1SX6NBoVAgQJ6U1MVXOaj8PK2l7WJ3RER9xtqwdhxkhw/edit?usp=sharing"",""ฉะเชิงเทรา!I74"")"),4)</f>
        <v>4</v>
      </c>
      <c r="J149" s="276">
        <f ca="1">IFERROR(__xludf.DUMMYFUNCTION("IMPORTRANGE(""https://docs.google.com/spreadsheets/d/1SX6NBoVAgQJ6U1MVXOaj8PK2l7WJ3RER9xtqwdhxkhw/edit?usp=sharing"",""ฉะเชิงเทรา!J74"")"),4)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IFERROR(__xludf.DUMMYFUNCTION("IMPORTRANGE(""https://docs.google.com/spreadsheets/d/1SX6NBoVAgQJ6U1MVXOaj8PK2l7WJ3RER9xtqwdhxkhw/edit?usp=sharing"",""ฉะเชิงเทรา!J79"")"),0)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IFERROR(__xludf.DUMMYFUNCTION("IMPORTRANGE(""https://docs.google.com/spreadsheets/d/1SX6NBoVAgQJ6U1MVXOaj8PK2l7WJ3RER9xtqwdhxkhw/edit?usp=sharing"",""ฉะเชิงเทรา!J80"")"),1)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IFERROR(__xludf.DUMMYFUNCTION("IMPORTRANGE(""https://docs.google.com/spreadsheets/d/1SX6NBoVAgQJ6U1MVXOaj8PK2l7WJ3RER9xtqwdhxkhw/edit?usp=sharing"",""ฉะเชิงเทรา!J81"")"),1)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IFERROR(__xludf.DUMMYFUNCTION("IMPORTRANGE(""https://docs.google.com/spreadsheets/d/1SX6NBoVAgQJ6U1MVXOaj8PK2l7WJ3RER9xtqwdhxkhw/edit?usp=sharing"",""ฉะเชิงเทรา!J82"")"),1)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IFERROR(__xludf.DUMMYFUNCTION("IMPORTRANGE(""https://docs.google.com/spreadsheets/d/1SX6NBoVAgQJ6U1MVXOaj8PK2l7WJ3RER9xtqwdhxkhw/edit?usp=sharing"",""ฉะเชิงเทรา!I83"")"),4)</f>
        <v>4</v>
      </c>
      <c r="J158" s="189">
        <f ca="1">IFERROR(__xludf.DUMMYFUNCTION("IMPORTRANGE(""https://docs.google.com/spreadsheets/d/1SX6NBoVAgQJ6U1MVXOaj8PK2l7WJ3RER9xtqwdhxkhw/edit?usp=sharing"",""ฉะเชิงเทรา!J83"")"),4)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IFERROR(__xludf.DUMMYFUNCTION("IMPORTRANGE(""https://docs.google.com/spreadsheets/d/1SX6NBoVAgQJ6U1MVXOaj8PK2l7WJ3RER9xtqwdhxkhw/edit?usp=sharing"",""ฉะเชิงเทรา!J84"")"),104)</f>
        <v>104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IFERROR(__xludf.DUMMYFUNCTION("IMPORTRANGE(""https://docs.google.com/spreadsheets/d/1SX6NBoVAgQJ6U1MVXOaj8PK2l7WJ3RER9xtqwdhxkhw/edit?usp=sharing"",""ฉะเชิงเทรา!J85"")"),104)</f>
        <v>104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IFERROR(__xludf.DUMMYFUNCTION("IMPORTRANGE(""https://docs.google.com/spreadsheets/d/1SX6NBoVAgQJ6U1MVXOaj8PK2l7WJ3RER9xtqwdhxkhw/edit?usp=sharing"",""ฉะเชิงเทรา!J86"")"),0)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IFERROR(__xludf.DUMMYFUNCTION("IMPORTRANGE(""https://docs.google.com/spreadsheets/d/1SX6NBoVAgQJ6U1MVXOaj8PK2l7WJ3RER9xtqwdhxkhw/edit?usp=sharing"",""ฉะเชิงเทรา!J87"")"),0)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IFERROR(__xludf.DUMMYFUNCTION("IMPORTRANGE(""https://docs.google.com/spreadsheets/d/1SX6NBoVAgQJ6U1MVXOaj8PK2l7WJ3RER9xtqwdhxkhw/edit?usp=sharing"",""ฉะเชิงเทรา!J88"")"),0)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IFERROR(__xludf.DUMMYFUNCTION("IMPORTRANGE(""https://docs.google.com/spreadsheets/d/1SX6NBoVAgQJ6U1MVXOaj8PK2l7WJ3RER9xtqwdhxkhw/edit?usp=sharing"",""ฉะเชิงเทรา!I89"")"),4)</f>
        <v>4</v>
      </c>
      <c r="J164" s="285">
        <f ca="1">IFERROR(__xludf.DUMMYFUNCTION("IMPORTRANGE(""https://docs.google.com/spreadsheets/d/1SX6NBoVAgQJ6U1MVXOaj8PK2l7WJ3RER9xtqwdhxkhw/edit?usp=sharing"",""ฉะเชิงเทรา!J89"")"),4)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IFERROR(__xludf.DUMMYFUNCTION("IMPORTRANGE(""https://docs.google.com/spreadsheets/d/1SX6NBoVAgQJ6U1MVXOaj8PK2l7WJ3RER9xtqwdhxkhw/edit?usp=sharing"",""ฉะเชิงเทรา!J94"")"),0)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IFERROR(__xludf.DUMMYFUNCTION("IMPORTRANGE(""https://docs.google.com/spreadsheets/d/1SX6NBoVAgQJ6U1MVXOaj8PK2l7WJ3RER9xtqwdhxkhw/edit?usp=sharing"",""ฉะเชิงเทรา!J95"")"),0)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IFERROR(__xludf.DUMMYFUNCTION("IMPORTRANGE(""https://docs.google.com/spreadsheets/d/1SX6NBoVAgQJ6U1MVXOaj8PK2l7WJ3RER9xtqwdhxkhw/edit?usp=sharing"",""ฉะเชิงเทรา!J96"")"),1)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IFERROR(__xludf.DUMMYFUNCTION("IMPORTRANGE(""https://docs.google.com/spreadsheets/d/1SX6NBoVAgQJ6U1MVXOaj8PK2l7WJ3RER9xtqwdhxkhw/edit?usp=sharing"",""ฉะเชิงเทรา!J97"")"),1)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IFERROR(__xludf.DUMMYFUNCTION("IMPORTRANGE(""https://docs.google.com/spreadsheets/d/1SX6NBoVAgQJ6U1MVXOaj8PK2l7WJ3RER9xtqwdhxkhw/edit?usp=sharing"",""ฉะเชิงเทรา!I98"")"),4)</f>
        <v>4</v>
      </c>
      <c r="J173" s="189">
        <f ca="1">IFERROR(__xludf.DUMMYFUNCTION("IMPORTRANGE(""https://docs.google.com/spreadsheets/d/1SX6NBoVAgQJ6U1MVXOaj8PK2l7WJ3RER9xtqwdhxkhw/edit?usp=sharing"",""ฉะเชิงเทรา!J98"")"),4)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IFERROR(__xludf.DUMMYFUNCTION("IMPORTRANGE(""https://docs.google.com/spreadsheets/d/1SX6NBoVAgQJ6U1MVXOaj8PK2l7WJ3RER9xtqwdhxkhw/edit?usp=sharing"",""ฉะเชิงเทรา!J99"")"),1)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IFERROR(__xludf.DUMMYFUNCTION("IMPORTRANGE(""https://docs.google.com/spreadsheets/d/1SX6NBoVAgQJ6U1MVXOaj8PK2l7WJ3RER9xtqwdhxkhw/edit?usp=sharing"",""ฉะเชิงเทรา!J100"")"),1)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IFERROR(__xludf.DUMMYFUNCTION("IMPORTRANGE(""https://docs.google.com/spreadsheets/d/1SX6NBoVAgQJ6U1MVXOaj8PK2l7WJ3RER9xtqwdhxkhw/edit?usp=sharing"",""ฉะเชิงเทรา!I101"")"),3)</f>
        <v>3</v>
      </c>
      <c r="J176" s="285">
        <f ca="1">IFERROR(__xludf.DUMMYFUNCTION("IMPORTRANGE(""https://docs.google.com/spreadsheets/d/1SX6NBoVAgQJ6U1MVXOaj8PK2l7WJ3RER9xtqwdhxkhw/edit?usp=sharing"",""ฉะเชิงเทรา!J101"")"),3)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IFERROR(__xludf.DUMMYFUNCTION("IMPORTRANGE(""https://docs.google.com/spreadsheets/d/1SX6NBoVAgQJ6U1MVXOaj8PK2l7WJ3RER9xtqwdhxkhw/edit?usp=sharing"",""ฉะเชิงเทรา!J106"")"),0)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IFERROR(__xludf.DUMMYFUNCTION("IMPORTRANGE(""https://docs.google.com/spreadsheets/d/1SX6NBoVAgQJ6U1MVXOaj8PK2l7WJ3RER9xtqwdhxkhw/edit?usp=sharing"",""ฉะเชิงเทรา!J107"")"),1)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IFERROR(__xludf.DUMMYFUNCTION("IMPORTRANGE(""https://docs.google.com/spreadsheets/d/1SX6NBoVAgQJ6U1MVXOaj8PK2l7WJ3RER9xtqwdhxkhw/edit?usp=sharing"",""ฉะเชิงเทรา!J108"")"),1)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IFERROR(__xludf.DUMMYFUNCTION("IMPORTRANGE(""https://docs.google.com/spreadsheets/d/1SX6NBoVAgQJ6U1MVXOaj8PK2l7WJ3RER9xtqwdhxkhw/edit?usp=sharing"",""ฉะเชิงเทรา!J109"")"),1)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IFERROR(__xludf.DUMMYFUNCTION("IMPORTRANGE(""https://docs.google.com/spreadsheets/d/1SX6NBoVAgQJ6U1MVXOaj8PK2l7WJ3RER9xtqwdhxkhw/edit?usp=sharing"",""ฉะเชิงเทรา!I110"")"),3)</f>
        <v>3</v>
      </c>
      <c r="J185" s="204">
        <f ca="1">IFERROR(__xludf.DUMMYFUNCTION("IMPORTRANGE(""https://docs.google.com/spreadsheets/d/1SX6NBoVAgQJ6U1MVXOaj8PK2l7WJ3RER9xtqwdhxkhw/edit?usp=sharing"",""ฉะเชิงเทรา!J110"")"),3)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IFERROR(__xludf.DUMMYFUNCTION("IMPORTRANGE(""https://docs.google.com/spreadsheets/d/1SX6NBoVAgQJ6U1MVXOaj8PK2l7WJ3RER9xtqwdhxkhw/edit?usp=sharing"",""ฉะเชิงเทรา!I111"")"),3)</f>
        <v>3</v>
      </c>
      <c r="J186" s="204">
        <f ca="1">IFERROR(__xludf.DUMMYFUNCTION("IMPORTRANGE(""https://docs.google.com/spreadsheets/d/1SX6NBoVAgQJ6U1MVXOaj8PK2l7WJ3RER9xtqwdhxkhw/edit?usp=sharing"",""ฉะเชิงเทรา!J111"")"),3)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IFERROR(__xludf.DUMMYFUNCTION("IMPORTRANGE(""https://docs.google.com/spreadsheets/d/1SX6NBoVAgQJ6U1MVXOaj8PK2l7WJ3RER9xtqwdhxkhw/edit?usp=sharing"",""ฉะเชิงเทรา!J112"")"),1)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IFERROR(__xludf.DUMMYFUNCTION("IMPORTRANGE(""https://docs.google.com/spreadsheets/d/1SX6NBoVAgQJ6U1MVXOaj8PK2l7WJ3RER9xtqwdhxkhw/edit?usp=sharing"",""ฉะเชิงเทรา!J113"")"),1)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IFERROR(__xludf.DUMMYFUNCTION("IMPORTRANGE(""https://docs.google.com/spreadsheets/d/1SX6NBoVAgQJ6U1MVXOaj8PK2l7WJ3RER9xtqwdhxkhw/edit?usp=sharing"",""ฉะเชิงเทรา!I114"")"),40000)</f>
        <v>40000</v>
      </c>
      <c r="J189" s="285">
        <f ca="1">IFERROR(__xludf.DUMMYFUNCTION("IMPORTRANGE(""https://docs.google.com/spreadsheets/d/1SX6NBoVAgQJ6U1MVXOaj8PK2l7WJ3RER9xtqwdhxkhw/edit?usp=sharing"",""ฉะเชิงเทรา!J114"")"),40000)</f>
        <v>40000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IFERROR(__xludf.DUMMYFUNCTION("IMPORTRANGE(""https://docs.google.com/spreadsheets/d/1SX6NBoVAgQJ6U1MVXOaj8PK2l7WJ3RER9xtqwdhxkhw/edit?usp=sharing"",""ฉะเชิงเทรา!J119"")"),0)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IFERROR(__xludf.DUMMYFUNCTION("IMPORTRANGE(""https://docs.google.com/spreadsheets/d/1SX6NBoVAgQJ6U1MVXOaj8PK2l7WJ3RER9xtqwdhxkhw/edit?usp=sharing"",""ฉะเชิงเทรา!J120"")"),1)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IFERROR(__xludf.DUMMYFUNCTION("IMPORTRANGE(""https://docs.google.com/spreadsheets/d/1SX6NBoVAgQJ6U1MVXOaj8PK2l7WJ3RER9xtqwdhxkhw/edit?usp=sharing"",""ฉะเชิงเทรา!J121"")"),1)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IFERROR(__xludf.DUMMYFUNCTION("IMPORTRANGE(""https://docs.google.com/spreadsheets/d/1SX6NBoVAgQJ6U1MVXOaj8PK2l7WJ3RER9xtqwdhxkhw/edit?usp=sharing"",""ฉะเชิงเทรา!J122"")"),1)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IFERROR(__xludf.DUMMYFUNCTION("IMPORTRANGE(""https://docs.google.com/spreadsheets/d/1SX6NBoVAgQJ6U1MVXOaj8PK2l7WJ3RER9xtqwdhxkhw/edit?usp=sharing"",""ฉะเชิงเทรา!I124"")"),40000)</f>
        <v>40000</v>
      </c>
      <c r="J199" s="189">
        <f ca="1">IFERROR(__xludf.DUMMYFUNCTION("IMPORTRANGE(""https://docs.google.com/spreadsheets/d/1SX6NBoVAgQJ6U1MVXOaj8PK2l7WJ3RER9xtqwdhxkhw/edit?usp=sharing"",""ฉะเชิงเทรา!J124"")"),40000)</f>
        <v>40000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IFERROR(__xludf.DUMMYFUNCTION("IMPORTRANGE(""https://docs.google.com/spreadsheets/d/1SX6NBoVAgQJ6U1MVXOaj8PK2l7WJ3RER9xtqwdhxkhw/edit?usp=sharing"",""ฉะเชิงเทรา!I125"")"),40000)</f>
        <v>40000</v>
      </c>
      <c r="J200" s="189">
        <f ca="1">IFERROR(__xludf.DUMMYFUNCTION("IMPORTRANGE(""https://docs.google.com/spreadsheets/d/1SX6NBoVAgQJ6U1MVXOaj8PK2l7WJ3RER9xtqwdhxkhw/edit?usp=sharing"",""ฉะเชิงเทรา!J125"")"),40000)</f>
        <v>40000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IFERROR(__xludf.DUMMYFUNCTION("IMPORTRANGE(""https://docs.google.com/spreadsheets/d/1SX6NBoVAgQJ6U1MVXOaj8PK2l7WJ3RER9xtqwdhxkhw/edit?usp=sharing"",""ฉะเชิงเทรา!I126"")"),15)</f>
        <v>15</v>
      </c>
      <c r="J201" s="189">
        <f ca="1">IFERROR(__xludf.DUMMYFUNCTION("IMPORTRANGE(""https://docs.google.com/spreadsheets/d/1SX6NBoVAgQJ6U1MVXOaj8PK2l7WJ3RER9xtqwdhxkhw/edit?usp=sharing"",""ฉะเชิงเทรา!J126"")"),15)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IFERROR(__xludf.DUMMYFUNCTION("IMPORTRANGE(""https://docs.google.com/spreadsheets/d/1SX6NBoVAgQJ6U1MVXOaj8PK2l7WJ3RER9xtqwdhxkhw/edit?usp=sharing"",""ฉะเชิงเทรา!J127"")"),1)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IFERROR(__xludf.DUMMYFUNCTION("IMPORTRANGE(""https://docs.google.com/spreadsheets/d/1SX6NBoVAgQJ6U1MVXOaj8PK2l7WJ3RER9xtqwdhxkhw/edit?usp=sharing"",""ฉะเชิงเทรา!J128"")"),1)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IFERROR(__xludf.DUMMYFUNCTION("IMPORTRANGE(""https://docs.google.com/spreadsheets/d/1SX6NBoVAgQJ6U1MVXOaj8PK2l7WJ3RER9xtqwdhxkhw/edit?usp=sharing"",""ฉะเชิงเทรา!I129"")"),80)</f>
        <v>80</v>
      </c>
      <c r="J204" s="285">
        <f ca="1">IFERROR(__xludf.DUMMYFUNCTION("IMPORTRANGE(""https://docs.google.com/spreadsheets/d/1SX6NBoVAgQJ6U1MVXOaj8PK2l7WJ3RER9xtqwdhxkhw/edit?usp=sharing"",""ฉะเชิงเทรา!J129"")"),80)</f>
        <v>80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IFERROR(__xludf.DUMMYFUNCTION("IMPORTRANGE(""https://docs.google.com/spreadsheets/d/1SX6NBoVAgQJ6U1MVXOaj8PK2l7WJ3RER9xtqwdhxkhw/edit?usp=sharing"",""ฉะเชิงเทรา!J134"")"),0)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IFERROR(__xludf.DUMMYFUNCTION("IMPORTRANGE(""https://docs.google.com/spreadsheets/d/1SX6NBoVAgQJ6U1MVXOaj8PK2l7WJ3RER9xtqwdhxkhw/edit?usp=sharing"",""ฉะเชิงเทรา!J135"")"),1)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IFERROR(__xludf.DUMMYFUNCTION("IMPORTRANGE(""https://docs.google.com/spreadsheets/d/1SX6NBoVAgQJ6U1MVXOaj8PK2l7WJ3RER9xtqwdhxkhw/edit?usp=sharing"",""ฉะเชิงเทรา!J136"")"),1)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IFERROR(__xludf.DUMMYFUNCTION("IMPORTRANGE(""https://docs.google.com/spreadsheets/d/1SX6NBoVAgQJ6U1MVXOaj8PK2l7WJ3RER9xtqwdhxkhw/edit?usp=sharing"",""ฉะเชิงเทรา!J137"")"),1)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IFERROR(__xludf.DUMMYFUNCTION("IMPORTRANGE(""https://docs.google.com/spreadsheets/d/1SX6NBoVAgQJ6U1MVXOaj8PK2l7WJ3RER9xtqwdhxkhw/edit?usp=sharing"",""ฉะเชิงเทรา!I138"")"),80)</f>
        <v>80</v>
      </c>
      <c r="J213" s="204">
        <f ca="1">IFERROR(__xludf.DUMMYFUNCTION("IMPORTRANGE(""https://docs.google.com/spreadsheets/d/1SX6NBoVAgQJ6U1MVXOaj8PK2l7WJ3RER9xtqwdhxkhw/edit?usp=sharing"",""ฉะเชิงเทรา!J138"")"),80)</f>
        <v>80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IFERROR(__xludf.DUMMYFUNCTION("IMPORTRANGE(""https://docs.google.com/spreadsheets/d/1SX6NBoVAgQJ6U1MVXOaj8PK2l7WJ3RER9xtqwdhxkhw/edit?usp=sharing"",""ฉะเชิงเทรา!I140"")"),40)</f>
        <v>40</v>
      </c>
      <c r="J215" s="204">
        <f ca="1">IFERROR(__xludf.DUMMYFUNCTION("IMPORTRANGE(""https://docs.google.com/spreadsheets/d/1SX6NBoVAgQJ6U1MVXOaj8PK2l7WJ3RER9xtqwdhxkhw/edit?usp=sharing"",""ฉะเชิงเทรา!J140"")"),40)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IFERROR(__xludf.DUMMYFUNCTION("IMPORTRANGE(""https://docs.google.com/spreadsheets/d/1SX6NBoVAgQJ6U1MVXOaj8PK2l7WJ3RER9xtqwdhxkhw/edit?usp=sharing"",""ฉะเชิงเทรา!I141"")"),1)</f>
        <v>1</v>
      </c>
      <c r="J216" s="204">
        <f ca="1">IFERROR(__xludf.DUMMYFUNCTION("IMPORTRANGE(""https://docs.google.com/spreadsheets/d/1SX6NBoVAgQJ6U1MVXOaj8PK2l7WJ3RER9xtqwdhxkhw/edit?usp=sharing"",""ฉะเชิงเทรา!J141"")"),1)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IFERROR(__xludf.DUMMYFUNCTION("IMPORTRANGE(""https://docs.google.com/spreadsheets/d/1SX6NBoVAgQJ6U1MVXOaj8PK2l7WJ3RER9xtqwdhxkhw/edit?usp=sharing"",""ฉะเชิงเทรา!J142"")"),1)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IFERROR(__xludf.DUMMYFUNCTION("IMPORTRANGE(""https://docs.google.com/spreadsheets/d/1SX6NBoVAgQJ6U1MVXOaj8PK2l7WJ3RER9xtqwdhxkhw/edit?usp=sharing"",""ฉะเชิงเทรา!J143"")"),0)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IFERROR(__xludf.DUMMYFUNCTION("IMPORTRANGE(""https://docs.google.com/spreadsheets/d/1SX6NBoVAgQJ6U1MVXOaj8PK2l7WJ3RER9xtqwdhxkhw/edit?usp=sharing"",""ฉะเชิงเทรา!I144"")"),15)</f>
        <v>15</v>
      </c>
      <c r="J219" s="268">
        <f ca="1">IFERROR(__xludf.DUMMYFUNCTION("IMPORTRANGE(""https://docs.google.com/spreadsheets/d/1SX6NBoVAgQJ6U1MVXOaj8PK2l7WJ3RER9xtqwdhxkhw/edit?usp=sharing"",""ฉะเชิงเทรา!J144"")"),15)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IFERROR(__xludf.DUMMYFUNCTION("IMPORTRANGE(""https://docs.google.com/spreadsheets/d/1Yj_ptqi66GCucihVvJfMjLAmec39IyEx_6qawtMGysU/edit?usp=sharing"",""สบก!BS61"")"),21125)</f>
        <v>21125</v>
      </c>
      <c r="N224" s="169">
        <f ca="1">IFERROR(__xludf.DUMMYFUNCTION("IMPORTRANGE(""https://docs.google.com/spreadsheets/d/1Yj_ptqi66GCucihVvJfMjLAmec39IyEx_6qawtMGysU/edit?usp=sharing"",""สบก!BT61"")"),21125)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IFERROR(__xludf.DUMMYFUNCTION("IMPORTRANGE(""https://docs.google.com/spreadsheets/d/1Yj_ptqi66GCucihVvJfMjLAmec39IyEx_6qawtMGysU/edit?usp=sharing"",""สบก!BQ61"")"),0)</f>
        <v>0</v>
      </c>
      <c r="M228" s="49"/>
      <c r="N228" s="49">
        <f ca="1">IFERROR(__xludf.DUMMYFUNCTION("IMPORTRANGE(""https://docs.google.com/spreadsheets/d/1Yj_ptqi66GCucihVvJfMjLAmec39IyEx_6qawtMGysU/edit?usp=sharing"",""สบก!BU61"")"),0)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IFERROR(__xludf.DUMMYFUNCTION("IMPORTRANGE(""https://docs.google.com/spreadsheets/d/1SX6NBoVAgQJ6U1MVXOaj8PK2l7WJ3RER9xtqwdhxkhw/edit?usp=sharing"",""ฉะเชิงเทรา!I149"")"),15)</f>
        <v>15</v>
      </c>
      <c r="J229" s="268">
        <f ca="1">IFERROR(__xludf.DUMMYFUNCTION("IMPORTRANGE(""https://docs.google.com/spreadsheets/d/1SX6NBoVAgQJ6U1MVXOaj8PK2l7WJ3RER9xtqwdhxkhw/edit?usp=sharing"",""ฉะเชิงเทรา!J149"")"),15)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IFERROR(__xludf.DUMMYFUNCTION("IMPORTRANGE(""https://docs.google.com/spreadsheets/d/1SX6NBoVAgQJ6U1MVXOaj8PK2l7WJ3RER9xtqwdhxkhw/edit?usp=sharing"",""ฉะเชิงเทรา!J151"")"),0)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IFERROR(__xludf.DUMMYFUNCTION("IMPORTRANGE(""https://docs.google.com/spreadsheets/d/1SX6NBoVAgQJ6U1MVXOaj8PK2l7WJ3RER9xtqwdhxkhw/edit?usp=sharing"",""ฉะเชิงเทรา!J152"")"),1)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IFERROR(__xludf.DUMMYFUNCTION("IMPORTRANGE(""https://docs.google.com/spreadsheets/d/1SX6NBoVAgQJ6U1MVXOaj8PK2l7WJ3RER9xtqwdhxkhw/edit?usp=sharing"",""ฉะเชิงเทรา!J153"")"),1)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IFERROR(__xludf.DUMMYFUNCTION("IMPORTRANGE(""https://docs.google.com/spreadsheets/d/1SX6NBoVAgQJ6U1MVXOaj8PK2l7WJ3RER9xtqwdhxkhw/edit?usp=sharing"",""ฉะเชิงเทรา!J154"")"),1)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IFERROR(__xludf.DUMMYFUNCTION("IMPORTRANGE(""https://docs.google.com/spreadsheets/d/1SX6NBoVAgQJ6U1MVXOaj8PK2l7WJ3RER9xtqwdhxkhw/edit?usp=sharing"",""ฉะเชิงเทรา!I155"")"),15)</f>
        <v>15</v>
      </c>
      <c r="J235" s="189">
        <f ca="1">IFERROR(__xludf.DUMMYFUNCTION("IMPORTRANGE(""https://docs.google.com/spreadsheets/d/1SX6NBoVAgQJ6U1MVXOaj8PK2l7WJ3RER9xtqwdhxkhw/edit?usp=sharing"",""ฉะเชิงเทรา!J155"")"),15)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IFERROR(__xludf.DUMMYFUNCTION("IMPORTRANGE(""https://docs.google.com/spreadsheets/d/1SX6NBoVAgQJ6U1MVXOaj8PK2l7WJ3RER9xtqwdhxkhw/edit?usp=sharing"",""ฉะเชิงเทรา!J156"")"),1)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IFERROR(__xludf.DUMMYFUNCTION("IMPORTRANGE(""https://docs.google.com/spreadsheets/d/1SX6NBoVAgQJ6U1MVXOaj8PK2l7WJ3RER9xtqwdhxkhw/edit?usp=sharing"",""ฉะเชิงเทรา!J157"")"),1)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IFERROR(__xludf.DUMMYFUNCTION("IMPORTRANGE(""https://docs.google.com/spreadsheets/d/1SX6NBoVAgQJ6U1MVXOaj8PK2l7WJ3RER9xtqwdhxkhw/edit?usp=sharing"",""ฉะเชิงเทรา!I158"")"),0)</f>
        <v>0</v>
      </c>
      <c r="J238" s="268">
        <f ca="1">IFERROR(__xludf.DUMMYFUNCTION("IMPORTRANGE(""https://docs.google.com/spreadsheets/d/1SX6NBoVAgQJ6U1MVXOaj8PK2l7WJ3RER9xtqwdhxkhw/edit?usp=sharing"",""ฉะเชิงเทรา!J158"")"),0)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IFERROR(__xludf.DUMMYFUNCTION("IMPORTRANGE(""https://docs.google.com/spreadsheets/d/1SX6NBoVAgQJ6U1MVXOaj8PK2l7WJ3RER9xtqwdhxkhw/edit?usp=sharing"",""ฉะเชิงเทรา!J159"")"),"")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IFERROR(__xludf.DUMMYFUNCTION("IMPORTRANGE(""https://docs.google.com/spreadsheets/d/1SX6NBoVAgQJ6U1MVXOaj8PK2l7WJ3RER9xtqwdhxkhw/edit?usp=sharing"",""ฉะเชิงเทรา!J161"")"),0)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IFERROR(__xludf.DUMMYFUNCTION("IMPORTRANGE(""https://docs.google.com/spreadsheets/d/1SX6NBoVAgQJ6U1MVXOaj8PK2l7WJ3RER9xtqwdhxkhw/edit?usp=sharing"",""ฉะเชิงเทรา!J162"")"),0)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IFERROR(__xludf.DUMMYFUNCTION("IMPORTRANGE(""https://docs.google.com/spreadsheets/d/1SX6NBoVAgQJ6U1MVXOaj8PK2l7WJ3RER9xtqwdhxkhw/edit?usp=sharing"",""ฉะเชิงเทรา!J163"")"),0)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IFERROR(__xludf.DUMMYFUNCTION("IMPORTRANGE(""https://docs.google.com/spreadsheets/d/1SX6NBoVAgQJ6U1MVXOaj8PK2l7WJ3RER9xtqwdhxkhw/edit?usp=sharing"",""ฉะเชิงเทรา!I164"")"),0)</f>
        <v>0</v>
      </c>
      <c r="J244" s="188">
        <f ca="1">IFERROR(__xludf.DUMMYFUNCTION("IMPORTRANGE(""https://docs.google.com/spreadsheets/d/1SX6NBoVAgQJ6U1MVXOaj8PK2l7WJ3RER9xtqwdhxkhw/edit?usp=sharing"",""ฉะเชิงเทรา!J164"")"),0)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IFERROR(__xludf.DUMMYFUNCTION("IMPORTRANGE(""https://docs.google.com/spreadsheets/d/1SX6NBoVAgQJ6U1MVXOaj8PK2l7WJ3RER9xtqwdhxkhw/edit?usp=sharing"",""ฉะเชิงเทรา!J165"")"),0)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IFERROR(__xludf.DUMMYFUNCTION("IMPORTRANGE(""https://docs.google.com/spreadsheets/d/1SX6NBoVAgQJ6U1MVXOaj8PK2l7WJ3RER9xtqwdhxkhw/edit?usp=sharing"",""ฉะเชิงเทรา!J166"")"),0)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IFERROR(__xludf.DUMMYFUNCTION("IMPORTRANGE(""https://docs.google.com/spreadsheets/d/1SX6NBoVAgQJ6U1MVXOaj8PK2l7WJ3RER9xtqwdhxkhw/edit?usp=sharing"",""ฉะเชิงเทรา!I169"")"),20)</f>
        <v>20</v>
      </c>
      <c r="J249" s="317">
        <f ca="1">IFERROR(__xludf.DUMMYFUNCTION("IMPORTRANGE(""https://docs.google.com/spreadsheets/d/1SX6NBoVAgQJ6U1MVXOaj8PK2l7WJ3RER9xtqwdhxkhw/edit?usp=sharing"",""ฉะเชิงเทรา!J169"")"),20)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70080</v>
      </c>
      <c r="O250" s="151">
        <f t="shared" ref="O250:O252" ca="1" si="78">IF(L250&gt;0,N250*100/L250,0)</f>
        <v>98.151260504201687</v>
      </c>
      <c r="P250" s="151">
        <f t="shared" ref="P250:P252" ca="1" si="79">IF(M250&gt;0,N250*100/M250,0)</f>
        <v>98.151260504201687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70080</v>
      </c>
      <c r="O252" s="156">
        <f t="shared" ca="1" si="78"/>
        <v>98.151260504201687</v>
      </c>
      <c r="P252" s="156">
        <f t="shared" ca="1" si="79"/>
        <v>98.151260504201687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IFERROR(__xludf.DUMMYFUNCTION("IMPORTRANGE(""https://docs.google.com/spreadsheets/d/1Yj_ptqi66GCucihVvJfMjLAmec39IyEx_6qawtMGysU/edit?usp=sharing"",""สบก!CB61"")"),71400)</f>
        <v>71400</v>
      </c>
      <c r="N254" s="169">
        <f ca="1">IFERROR(__xludf.DUMMYFUNCTION("IMPORTRANGE(""https://docs.google.com/spreadsheets/d/1Yj_ptqi66GCucihVvJfMjLAmec39IyEx_6qawtMGysU/edit?usp=sharing"",""สบก!CC61"")"),70080)</f>
        <v>70080</v>
      </c>
      <c r="O254" s="169">
        <f ca="1">IF(L254&gt;0,N254*100/L254,0)</f>
        <v>98.151260504201687</v>
      </c>
      <c r="P254" s="169">
        <f ca="1">IF(M254&gt;0,N254*100/M254,0)</f>
        <v>98.151260504201687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IFERROR(__xludf.DUMMYFUNCTION("IMPORTRANGE(""https://docs.google.com/spreadsheets/d/1Yj_ptqi66GCucihVvJfMjLAmec39IyEx_6qawtMGysU/edit?usp=sharing"",""สบก!BY61"")"),71400)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IFERROR(__xludf.DUMMYFUNCTION("IMPORTRANGE(""https://docs.google.com/spreadsheets/d/1Yj_ptqi66GCucihVvJfMjLAmec39IyEx_6qawtMGysU/edit?usp=sharing"",""สบก!BZ61"")"),0)</f>
        <v>0</v>
      </c>
      <c r="M258" s="49"/>
      <c r="N258" s="49">
        <f ca="1">IFERROR(__xludf.DUMMYFUNCTION("IMPORTRANGE(""https://docs.google.com/spreadsheets/d/1Yj_ptqi66GCucihVvJfMjLAmec39IyEx_6qawtMGysU/edit?usp=sharing"",""สบก!CD61"")"),0)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IFERROR(__xludf.DUMMYFUNCTION("IMPORTRANGE(""https://docs.google.com/spreadsheets/d/1SX6NBoVAgQJ6U1MVXOaj8PK2l7WJ3RER9xtqwdhxkhw/edit?usp=sharing"",""ฉะเชิงเทรา!J175"")"),0)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IFERROR(__xludf.DUMMYFUNCTION("IMPORTRANGE(""https://docs.google.com/spreadsheets/d/1SX6NBoVAgQJ6U1MVXOaj8PK2l7WJ3RER9xtqwdhxkhw/edit?usp=sharing"",""ฉะเชิงเทรา!J176"")"),1)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IFERROR(__xludf.DUMMYFUNCTION("IMPORTRANGE(""https://docs.google.com/spreadsheets/d/1SX6NBoVAgQJ6U1MVXOaj8PK2l7WJ3RER9xtqwdhxkhw/edit?usp=sharing"",""ฉะเชิงเทรา!J177"")"),1)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IFERROR(__xludf.DUMMYFUNCTION("IMPORTRANGE(""https://docs.google.com/spreadsheets/d/1SX6NBoVAgQJ6U1MVXOaj8PK2l7WJ3RER9xtqwdhxkhw/edit?usp=sharing"",""ฉะเชิงเทรา!J178"")"),1)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IFERROR(__xludf.DUMMYFUNCTION("IMPORTRANGE(""https://docs.google.com/spreadsheets/d/1SX6NBoVAgQJ6U1MVXOaj8PK2l7WJ3RER9xtqwdhxkhw/edit?usp=sharing"",""ฉะเชิงเทรา!I179"")"),1)</f>
        <v>1</v>
      </c>
      <c r="J264" s="189">
        <f ca="1">IFERROR(__xludf.DUMMYFUNCTION("IMPORTRANGE(""https://docs.google.com/spreadsheets/d/1SX6NBoVAgQJ6U1MVXOaj8PK2l7WJ3RER9xtqwdhxkhw/edit?usp=sharing"",""ฉะเชิงเทรา!J179"")"),1)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IFERROR(__xludf.DUMMYFUNCTION("IMPORTRANGE(""https://docs.google.com/spreadsheets/d/1SX6NBoVAgQJ6U1MVXOaj8PK2l7WJ3RER9xtqwdhxkhw/edit?usp=sharing"",""ฉะเชิงเทรา!I180"")"),20)</f>
        <v>20</v>
      </c>
      <c r="J265" s="189">
        <f ca="1">IFERROR(__xludf.DUMMYFUNCTION("IMPORTRANGE(""https://docs.google.com/spreadsheets/d/1SX6NBoVAgQJ6U1MVXOaj8PK2l7WJ3RER9xtqwdhxkhw/edit?usp=sharing"",""ฉะเชิงเทรา!J180"")"),20)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IFERROR(__xludf.DUMMYFUNCTION("IMPORTRANGE(""https://docs.google.com/spreadsheets/d/1SX6NBoVAgQJ6U1MVXOaj8PK2l7WJ3RER9xtqwdhxkhw/edit?usp=sharing"",""ฉะเชิงเทรา!I181"")"),20)</f>
        <v>20</v>
      </c>
      <c r="J266" s="189">
        <f ca="1">IFERROR(__xludf.DUMMYFUNCTION("IMPORTRANGE(""https://docs.google.com/spreadsheets/d/1SX6NBoVAgQJ6U1MVXOaj8PK2l7WJ3RER9xtqwdhxkhw/edit?usp=sharing"",""ฉะเชิงเทรา!J181"")"),20)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IFERROR(__xludf.DUMMYFUNCTION("IMPORTRANGE(""https://docs.google.com/spreadsheets/d/1SX6NBoVAgQJ6U1MVXOaj8PK2l7WJ3RER9xtqwdhxkhw/edit?usp=sharing"",""ฉะเชิงเทรา!I182"")"),1)</f>
        <v>1</v>
      </c>
      <c r="J267" s="189">
        <f ca="1">IFERROR(__xludf.DUMMYFUNCTION("IMPORTRANGE(""https://docs.google.com/spreadsheets/d/1SX6NBoVAgQJ6U1MVXOaj8PK2l7WJ3RER9xtqwdhxkhw/edit?usp=sharing"",""ฉะเชิงเทรา!J182"")"),1)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IFERROR(__xludf.DUMMYFUNCTION("IMPORTRANGE(""https://docs.google.com/spreadsheets/d/1SX6NBoVAgQJ6U1MVXOaj8PK2l7WJ3RER9xtqwdhxkhw/edit?usp=sharing"",""ฉะเชิงเทรา!J183"")"),0)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IFERROR(__xludf.DUMMYFUNCTION("IMPORTRANGE(""https://docs.google.com/spreadsheets/d/1SX6NBoVAgQJ6U1MVXOaj8PK2l7WJ3RER9xtqwdhxkhw/edit?usp=sharing"",""ฉะเชิงเทรา!J184"")"),0)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IFERROR(__xludf.DUMMYFUNCTION("IMPORTRANGE(""https://docs.google.com/spreadsheets/d/1SX6NBoVAgQJ6U1MVXOaj8PK2l7WJ3RER9xtqwdhxkhw/edit?usp=sharing"",""ฉะเชิงเทรา!I185"")"),20)</f>
        <v>20</v>
      </c>
      <c r="J270" s="317">
        <f ca="1">IFERROR(__xludf.DUMMYFUNCTION("IMPORTRANGE(""https://docs.google.com/spreadsheets/d/1SX6NBoVAgQJ6U1MVXOaj8PK2l7WJ3RER9xtqwdhxkhw/edit?usp=sharing"",""ฉะเชิงเทรา!J185"")"),20)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120604.72</v>
      </c>
      <c r="O271" s="151">
        <f t="shared" ref="O271:O273" ca="1" si="84">IF(L271&gt;0,N271*100/L271,0)</f>
        <v>65.688845315904146</v>
      </c>
      <c r="P271" s="151">
        <f t="shared" ref="P271:P273" ca="1" si="85">IF(M271&gt;0,N271*100/M271,0)</f>
        <v>65.688845315904146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120604.72</v>
      </c>
      <c r="O273" s="156">
        <f t="shared" ca="1" si="84"/>
        <v>65.688845315904146</v>
      </c>
      <c r="P273" s="156">
        <f t="shared" ca="1" si="85"/>
        <v>65.688845315904146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IFERROR(__xludf.DUMMYFUNCTION("IMPORTRANGE(""https://docs.google.com/spreadsheets/d/1Yj_ptqi66GCucihVvJfMjLAmec39IyEx_6qawtMGysU/edit?usp=sharing"",""สบก!CK61"")"),183600)</f>
        <v>183600</v>
      </c>
      <c r="N275" s="169">
        <f ca="1">IFERROR(__xludf.DUMMYFUNCTION("IMPORTRANGE(""https://docs.google.com/spreadsheets/d/1Yj_ptqi66GCucihVvJfMjLAmec39IyEx_6qawtMGysU/edit?usp=sharing"",""สบก!CL61"")"),120604.72)</f>
        <v>120604.72</v>
      </c>
      <c r="O275" s="169">
        <f ca="1">IF(L275&gt;0,N275*100/L275,0)</f>
        <v>65.688845315904146</v>
      </c>
      <c r="P275" s="169">
        <f ca="1">IF(M275&gt;0,N275*100/M275,0)</f>
        <v>65.688845315904146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IFERROR(__xludf.DUMMYFUNCTION("IMPORTRANGE(""https://docs.google.com/spreadsheets/d/1Yj_ptqi66GCucihVvJfMjLAmec39IyEx_6qawtMGysU/edit?usp=sharing"",""สบก!CH61"")"),183600)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IFERROR(__xludf.DUMMYFUNCTION("IMPORTRANGE(""https://docs.google.com/spreadsheets/d/1Yj_ptqi66GCucihVvJfMjLAmec39IyEx_6qawtMGysU/edit?usp=sharing"",""สบก!CI61"")"),0)</f>
        <v>0</v>
      </c>
      <c r="M279" s="49"/>
      <c r="N279" s="49">
        <f ca="1">IFERROR(__xludf.DUMMYFUNCTION("IMPORTRANGE(""https://docs.google.com/spreadsheets/d/1Yj_ptqi66GCucihVvJfMjLAmec39IyEx_6qawtMGysU/edit?usp=sharing"",""สบก!CM61"")"),0)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IFERROR(__xludf.DUMMYFUNCTION("IMPORTRANGE(""https://docs.google.com/spreadsheets/d/1SX6NBoVAgQJ6U1MVXOaj8PK2l7WJ3RER9xtqwdhxkhw/edit?usp=sharing"",""ฉะเชิงเทรา!J191"")"),0)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IFERROR(__xludf.DUMMYFUNCTION("IMPORTRANGE(""https://docs.google.com/spreadsheets/d/1SX6NBoVAgQJ6U1MVXOaj8PK2l7WJ3RER9xtqwdhxkhw/edit?usp=sharing"",""ฉะเชิงเทรา!J192"")"),1)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IFERROR(__xludf.DUMMYFUNCTION("IMPORTRANGE(""https://docs.google.com/spreadsheets/d/1SX6NBoVAgQJ6U1MVXOaj8PK2l7WJ3RER9xtqwdhxkhw/edit?usp=sharing"",""ฉะเชิงเทรา!J193"")"),1)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IFERROR(__xludf.DUMMYFUNCTION("IMPORTRANGE(""https://docs.google.com/spreadsheets/d/1SX6NBoVAgQJ6U1MVXOaj8PK2l7WJ3RER9xtqwdhxkhw/edit?usp=sharing"",""ฉะเชิงเทรา!J194"")"),1)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IFERROR(__xludf.DUMMYFUNCTION("IMPORTRANGE(""https://docs.google.com/spreadsheets/d/1SX6NBoVAgQJ6U1MVXOaj8PK2l7WJ3RER9xtqwdhxkhw/edit?usp=sharing"",""ฉะเชิงเทรา!I195"")"),20)</f>
        <v>20</v>
      </c>
      <c r="J285" s="189">
        <f ca="1">IFERROR(__xludf.DUMMYFUNCTION("IMPORTRANGE(""https://docs.google.com/spreadsheets/d/1SX6NBoVAgQJ6U1MVXOaj8PK2l7WJ3RER9xtqwdhxkhw/edit?usp=sharing"",""ฉะเชิงเทรา!J195"")"),20)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IFERROR(__xludf.DUMMYFUNCTION("IMPORTRANGE(""https://docs.google.com/spreadsheets/d/1SX6NBoVAgQJ6U1MVXOaj8PK2l7WJ3RER9xtqwdhxkhw/edit?usp=sharing"",""ฉะเชิงเทรา!J196"")"),0)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IFERROR(__xludf.DUMMYFUNCTION("IMPORTRANGE(""https://docs.google.com/spreadsheets/d/1SX6NBoVAgQJ6U1MVXOaj8PK2l7WJ3RER9xtqwdhxkhw/edit?usp=sharing"",""ฉะเชิงเทรา!J197"")"),0)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IFERROR(__xludf.DUMMYFUNCTION("IMPORTRANGE(""https://docs.google.com/spreadsheets/d/1SX6NBoVAgQJ6U1MVXOaj8PK2l7WJ3RER9xtqwdhxkhw/edit?usp=sharing"",""ฉะเชิงเทรา!I199"")"),0)</f>
        <v>0</v>
      </c>
      <c r="J289" s="317">
        <f ca="1">IFERROR(__xludf.DUMMYFUNCTION("IMPORTRANGE(""https://docs.google.com/spreadsheets/d/1SX6NBoVAgQJ6U1MVXOaj8PK2l7WJ3RER9xtqwdhxkhw/edit?usp=sharing"",""ฉะเชิงเทรา!J199"")"),0)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IFERROR(__xludf.DUMMYFUNCTION("IMPORTRANGE(""https://docs.google.com/spreadsheets/d/1Yj_ptqi66GCucihVvJfMjLAmec39IyEx_6qawtMGysU/edit?usp=sharing"",""สบก!CT61"")"),0)</f>
        <v>0</v>
      </c>
      <c r="N294" s="169">
        <f ca="1">IFERROR(__xludf.DUMMYFUNCTION("IMPORTRANGE(""https://docs.google.com/spreadsheets/d/1Yj_ptqi66GCucihVvJfMjLAmec39IyEx_6qawtMGysU/edit?usp=sharing"",""สบก!CU61"")"),0)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IFERROR(__xludf.DUMMYFUNCTION("IMPORTRANGE(""https://docs.google.com/spreadsheets/d/1Yj_ptqi66GCucihVvJfMjLAmec39IyEx_6qawtMGysU/edit?usp=sharing"",""สบก!CR61"")"),0)</f>
        <v>0</v>
      </c>
      <c r="M298" s="49"/>
      <c r="N298" s="49">
        <f ca="1">IFERROR(__xludf.DUMMYFUNCTION("IMPORTRANGE(""https://docs.google.com/spreadsheets/d/1Yj_ptqi66GCucihVvJfMjLAmec39IyEx_6qawtMGysU/edit?usp=sharing"",""สบก!CV61"")"),0)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IFERROR(__xludf.DUMMYFUNCTION("IMPORTRANGE(""https://docs.google.com/spreadsheets/d/1SX6NBoVAgQJ6U1MVXOaj8PK2l7WJ3RER9xtqwdhxkhw/edit?usp=sharing"",""ฉะเชิงเทรา!J205"")"),0)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IFERROR(__xludf.DUMMYFUNCTION("IMPORTRANGE(""https://docs.google.com/spreadsheets/d/1SX6NBoVAgQJ6U1MVXOaj8PK2l7WJ3RER9xtqwdhxkhw/edit?usp=sharing"",""ฉะเชิงเทรา!J206"")"),0)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IFERROR(__xludf.DUMMYFUNCTION("IMPORTRANGE(""https://docs.google.com/spreadsheets/d/1SX6NBoVAgQJ6U1MVXOaj8PK2l7WJ3RER9xtqwdhxkhw/edit?usp=sharing"",""ฉะเชิงเทรา!J207"")"),0)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IFERROR(__xludf.DUMMYFUNCTION("IMPORTRANGE(""https://docs.google.com/spreadsheets/d/1SX6NBoVAgQJ6U1MVXOaj8PK2l7WJ3RER9xtqwdhxkhw/edit?usp=sharing"",""ฉะเชิงเทรา!J208"")"),0)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IFERROR(__xludf.DUMMYFUNCTION("IMPORTRANGE(""https://docs.google.com/spreadsheets/d/1SX6NBoVAgQJ6U1MVXOaj8PK2l7WJ3RER9xtqwdhxkhw/edit?usp=sharing"",""ฉะเชิงเทรา!I209"")"),0)</f>
        <v>0</v>
      </c>
      <c r="J304" s="204">
        <f ca="1">IFERROR(__xludf.DUMMYFUNCTION("IMPORTRANGE(""https://docs.google.com/spreadsheets/d/1SX6NBoVAgQJ6U1MVXOaj8PK2l7WJ3RER9xtqwdhxkhw/edit?usp=sharing"",""ฉะเชิงเทรา!J209"")"),0)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IFERROR(__xludf.DUMMYFUNCTION("IMPORTRANGE(""https://docs.google.com/spreadsheets/d/1SX6NBoVAgQJ6U1MVXOaj8PK2l7WJ3RER9xtqwdhxkhw/edit?usp=sharing"",""ฉะเชิงเทรา!I211"")"),0)</f>
        <v>0</v>
      </c>
      <c r="J306" s="204">
        <f ca="1">IFERROR(__xludf.DUMMYFUNCTION("IMPORTRANGE(""https://docs.google.com/spreadsheets/d/1SX6NBoVAgQJ6U1MVXOaj8PK2l7WJ3RER9xtqwdhxkhw/edit?usp=sharing"",""ฉะเชิงเทรา!J211"")"),0)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IFERROR(__xludf.DUMMYFUNCTION("IMPORTRANGE(""https://docs.google.com/spreadsheets/d/1SX6NBoVAgQJ6U1MVXOaj8PK2l7WJ3RER9xtqwdhxkhw/edit?usp=sharing"",""ฉะเชิงเทรา!J212"")"),0)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IFERROR(__xludf.DUMMYFUNCTION("IMPORTRANGE(""https://docs.google.com/spreadsheets/d/1SX6NBoVAgQJ6U1MVXOaj8PK2l7WJ3RER9xtqwdhxkhw/edit?usp=sharing"",""ฉะเชิงเทรา!J213"")"),0)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IFERROR(__xludf.DUMMYFUNCTION("IMPORTRANGE(""https://docs.google.com/spreadsheets/d/1SX6NBoVAgQJ6U1MVXOaj8PK2l7WJ3RER9xtqwdhxkhw/edit?usp=sharing"",""ฉะเชิงเทรา!I214"")"),0)</f>
        <v>0</v>
      </c>
      <c r="J309" s="334">
        <f ca="1">IFERROR(__xludf.DUMMYFUNCTION("IMPORTRANGE(""https://docs.google.com/spreadsheets/d/1SX6NBoVAgQJ6U1MVXOaj8PK2l7WJ3RER9xtqwdhxkhw/edit?usp=sharing"",""ฉะเชิงเทรา!J214"")"),0)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IFERROR(__xludf.DUMMYFUNCTION("IMPORTRANGE(""https://docs.google.com/spreadsheets/d/1Yj_ptqi66GCucihVvJfMjLAmec39IyEx_6qawtMGysU/edit?usp=sharing"",""สบก!DC61"")"),0)</f>
        <v>0</v>
      </c>
      <c r="N314" s="169">
        <f ca="1">IFERROR(__xludf.DUMMYFUNCTION("IMPORTRANGE(""https://docs.google.com/spreadsheets/d/1Yj_ptqi66GCucihVvJfMjLAmec39IyEx_6qawtMGysU/edit?usp=sharing"",""สบก!DD61"")"),0)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IFERROR(__xludf.DUMMYFUNCTION("IMPORTRANGE(""https://docs.google.com/spreadsheets/d/1Yj_ptqi66GCucihVvJfMjLAmec39IyEx_6qawtMGysU/edit?usp=sharing"",""สบก!DA61"")"),0)</f>
        <v>0</v>
      </c>
      <c r="M318" s="49"/>
      <c r="N318" s="49">
        <f ca="1">IFERROR(__xludf.DUMMYFUNCTION("IMPORTRANGE(""https://docs.google.com/spreadsheets/d/1Yj_ptqi66GCucihVvJfMjLAmec39IyEx_6qawtMGysU/edit?usp=sharing"",""สบก!DE61"")"),0)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IFERROR(__xludf.DUMMYFUNCTION("IMPORTRANGE(""https://docs.google.com/spreadsheets/d/1SX6NBoVAgQJ6U1MVXOaj8PK2l7WJ3RER9xtqwdhxkhw/edit?usp=sharing"",""ฉะเชิงเทรา!J220"")"),0)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IFERROR(__xludf.DUMMYFUNCTION("IMPORTRANGE(""https://docs.google.com/spreadsheets/d/1SX6NBoVAgQJ6U1MVXOaj8PK2l7WJ3RER9xtqwdhxkhw/edit?usp=sharing"",""ฉะเชิงเทรา!J221"")"),0)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IFERROR(__xludf.DUMMYFUNCTION("IMPORTRANGE(""https://docs.google.com/spreadsheets/d/1SX6NBoVAgQJ6U1MVXOaj8PK2l7WJ3RER9xtqwdhxkhw/edit?usp=sharing"",""ฉะเชิงเทรา!J222"")"),0)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IFERROR(__xludf.DUMMYFUNCTION("IMPORTRANGE(""https://docs.google.com/spreadsheets/d/1SX6NBoVAgQJ6U1MVXOaj8PK2l7WJ3RER9xtqwdhxkhw/edit?usp=sharing"",""ฉะเชิงเทรา!J223"")"),0)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IFERROR(__xludf.DUMMYFUNCTION("IMPORTRANGE(""https://docs.google.com/spreadsheets/d/1SX6NBoVAgQJ6U1MVXOaj8PK2l7WJ3RER9xtqwdhxkhw/edit?usp=sharing"",""ฉะเชิงเทรา!I224"")"),0)</f>
        <v>0</v>
      </c>
      <c r="J324" s="204">
        <f ca="1">IFERROR(__xludf.DUMMYFUNCTION("IMPORTRANGE(""https://docs.google.com/spreadsheets/d/1SX6NBoVAgQJ6U1MVXOaj8PK2l7WJ3RER9xtqwdhxkhw/edit?usp=sharing"",""ฉะเชิงเทรา!J224"")"),0)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IFERROR(__xludf.DUMMYFUNCTION("IMPORTRANGE(""https://docs.google.com/spreadsheets/d/1SX6NBoVAgQJ6U1MVXOaj8PK2l7WJ3RER9xtqwdhxkhw/edit?usp=sharing"",""ฉะเชิงเทรา!J225"")"),0)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IFERROR(__xludf.DUMMYFUNCTION("IMPORTRANGE(""https://docs.google.com/spreadsheets/d/1SX6NBoVAgQJ6U1MVXOaj8PK2l7WJ3RER9xtqwdhxkhw/edit?usp=sharing"",""ฉะเชิงเทรา!J226"")"),0)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IFERROR(__xludf.DUMMYFUNCTION("IMPORTRANGE(""https://docs.google.com/spreadsheets/d/1SX6NBoVAgQJ6U1MVXOaj8PK2l7WJ3RER9xtqwdhxkhw/edit?usp=sharing"",""ฉะเชิงเทรา!I228"")"),210)</f>
        <v>210</v>
      </c>
      <c r="J328" s="340">
        <f ca="1">IFERROR(__xludf.DUMMYFUNCTION("IMPORTRANGE(""https://docs.google.com/spreadsheets/d/1SX6NBoVAgQJ6U1MVXOaj8PK2l7WJ3RER9xtqwdhxkhw/edit?usp=sharing"",""ฉะเชิงเทรา!J228"")"),228)</f>
        <v>228</v>
      </c>
      <c r="K328" s="318">
        <f ca="1">IF(I328&gt;0,J328*100/I328,0)</f>
        <v>108.57142857142857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985070</v>
      </c>
      <c r="M329" s="152">
        <f t="shared" ca="1" si="98"/>
        <v>1020070</v>
      </c>
      <c r="N329" s="152">
        <f t="shared" ca="1" si="98"/>
        <v>825053.15</v>
      </c>
      <c r="O329" s="151">
        <f t="shared" ref="O329:O331" ca="1" si="99">IF(L329&gt;0,N329*100/L329,0)</f>
        <v>83.75578892870557</v>
      </c>
      <c r="P329" s="151">
        <f t="shared" ref="P329:P331" ca="1" si="100">IF(M329&gt;0,N329*100/M329,0)</f>
        <v>80.8820129991079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985070</v>
      </c>
      <c r="M331" s="157">
        <f t="shared" ca="1" si="102"/>
        <v>1020070</v>
      </c>
      <c r="N331" s="157">
        <f t="shared" ca="1" si="102"/>
        <v>825053.15</v>
      </c>
      <c r="O331" s="156">
        <f t="shared" ca="1" si="99"/>
        <v>83.75578892870557</v>
      </c>
      <c r="P331" s="156">
        <f t="shared" ca="1" si="100"/>
        <v>80.8820129991079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968070</v>
      </c>
      <c r="M333" s="168">
        <f ca="1">IFERROR(__xludf.DUMMYFUNCTION("IMPORTRANGE(""https://docs.google.com/spreadsheets/d/1Yj_ptqi66GCucihVvJfMjLAmec39IyEx_6qawtMGysU/edit?usp=sharing"",""สบก!DL61"")"),1003070)</f>
        <v>1003070</v>
      </c>
      <c r="N333" s="169">
        <f ca="1">IFERROR(__xludf.DUMMYFUNCTION("IMPORTRANGE(""https://docs.google.com/spreadsheets/d/1Yj_ptqi66GCucihVvJfMjLAmec39IyEx_6qawtMGysU/edit?usp=sharing"",""สบก!DM61"")"),808053.15)</f>
        <v>808053.15</v>
      </c>
      <c r="O333" s="169">
        <f ca="1">IF(L333&gt;0,N333*100/L333,0)</f>
        <v>83.470528990672165</v>
      </c>
      <c r="P333" s="169">
        <f ca="1">IF(M333&gt;0,N333*100/M333,0)</f>
        <v>80.558001934062432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IFERROR(__xludf.DUMMYFUNCTION("IMPORTRANGE(""https://docs.google.com/spreadsheets/d/1Yj_ptqi66GCucihVvJfMjLAmec39IyEx_6qawtMGysU/edit?usp=sharing"",""สบก!DH61"")"),529200)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IFERROR(__xludf.DUMMYFUNCTION("IMPORTRANGE(""https://docs.google.com/spreadsheets/d/1Yj_ptqi66GCucihVvJfMjLAmec39IyEx_6qawtMGysU/edit?usp=sharing"",""สบก!DI61"")"),438870)</f>
        <v>438870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IFERROR(__xludf.DUMMYFUNCTION("IMPORTRANGE(""https://docs.google.com/spreadsheets/d/1Yj_ptqi66GCucihVvJfMjLAmec39IyEx_6qawtMGysU/edit?usp=sharing"",""สบก!DJ61"")"),17000)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IFERROR(__xludf.DUMMYFUNCTION("IMPORTRANGE(""https://docs.google.com/spreadsheets/d/1Yj_ptqi66GCucihVvJfMjLAmec39IyEx_6qawtMGysU/edit?usp=sharing"",""สบก!DN61"")"),17000)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IFERROR(__xludf.DUMMYFUNCTION("IMPORTRANGE(""https://docs.google.com/spreadsheets/d/1SX6NBoVAgQJ6U1MVXOaj8PK2l7WJ3RER9xtqwdhxkhw/edit?usp=sharing"",""ฉะเชิงเทรา!I234"")"),0)</f>
        <v>0</v>
      </c>
      <c r="J339" s="188">
        <f ca="1">IFERROR(__xludf.DUMMYFUNCTION("IMPORTRANGE(""https://docs.google.com/spreadsheets/d/1SX6NBoVAgQJ6U1MVXOaj8PK2l7WJ3RER9xtqwdhxkhw/edit?usp=sharing"",""ฉะเชิงเทรา!J234"")"),370)</f>
        <v>370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IFERROR(__xludf.DUMMYFUNCTION("IMPORTRANGE(""https://docs.google.com/spreadsheets/d/1SX6NBoVAgQJ6U1MVXOaj8PK2l7WJ3RER9xtqwdhxkhw/edit?usp=sharing"",""ฉะเชิงเทรา!I235"")"),3160)</f>
        <v>3160</v>
      </c>
      <c r="J340" s="188">
        <f ca="1">IFERROR(__xludf.DUMMYFUNCTION("IMPORTRANGE(""https://docs.google.com/spreadsheets/d/1SX6NBoVAgQJ6U1MVXOaj8PK2l7WJ3RER9xtqwdhxkhw/edit?usp=sharing"",""ฉะเชิงเทรา!J235"")"),4294.24)</f>
        <v>4294.24</v>
      </c>
      <c r="K340" s="343">
        <f t="shared" ca="1" si="103"/>
        <v>135.89367088607594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IFERROR(__xludf.DUMMYFUNCTION("IMPORTRANGE(""https://docs.google.com/spreadsheets/d/1SX6NBoVAgQJ6U1MVXOaj8PK2l7WJ3RER9xtqwdhxkhw/edit?usp=sharing"",""ฉะเชิงเทรา!I236"")"),210)</f>
        <v>210</v>
      </c>
      <c r="J341" s="188">
        <f ca="1">IFERROR(__xludf.DUMMYFUNCTION("IMPORTRANGE(""https://docs.google.com/spreadsheets/d/1SX6NBoVAgQJ6U1MVXOaj8PK2l7WJ3RER9xtqwdhxkhw/edit?usp=sharing"",""ฉะเชิงเทรา!J236"")"),315)</f>
        <v>315</v>
      </c>
      <c r="K341" s="343">
        <f t="shared" ca="1" si="103"/>
        <v>150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IFERROR(__xludf.DUMMYFUNCTION("IMPORTRANGE(""https://docs.google.com/spreadsheets/d/1SX6NBoVAgQJ6U1MVXOaj8PK2l7WJ3RER9xtqwdhxkhw/edit?usp=sharing"",""ฉะเชิงเทรา!I237"")"),0)</f>
        <v>0</v>
      </c>
      <c r="J342" s="188">
        <f ca="1">IFERROR(__xludf.DUMMYFUNCTION("IMPORTRANGE(""https://docs.google.com/spreadsheets/d/1SX6NBoVAgQJ6U1MVXOaj8PK2l7WJ3RER9xtqwdhxkhw/edit?usp=sharing"",""ฉะเชิงเทรา!J237"")"),4203.13)</f>
        <v>4203.13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IFERROR(__xludf.DUMMYFUNCTION("IMPORTRANGE(""https://docs.google.com/spreadsheets/d/1SX6NBoVAgQJ6U1MVXOaj8PK2l7WJ3RER9xtqwdhxkhw/edit?usp=sharing"",""ฉะเชิงเทรา!I238"")"),210)</f>
        <v>210</v>
      </c>
      <c r="J343" s="188">
        <f ca="1">IFERROR(__xludf.DUMMYFUNCTION("IMPORTRANGE(""https://docs.google.com/spreadsheets/d/1SX6NBoVAgQJ6U1MVXOaj8PK2l7WJ3RER9xtqwdhxkhw/edit?usp=sharing"",""ฉะเชิงเทรา!J238"")"),31)</f>
        <v>31</v>
      </c>
      <c r="K343" s="343">
        <f t="shared" ca="1" si="103"/>
        <v>14.761904761904763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IFERROR(__xludf.DUMMYFUNCTION("IMPORTRANGE(""https://docs.google.com/spreadsheets/d/1SX6NBoVAgQJ6U1MVXOaj8PK2l7WJ3RER9xtqwdhxkhw/edit?usp=sharing"",""ฉะเชิงเทรา!I239"")"),0)</f>
        <v>0</v>
      </c>
      <c r="J344" s="188">
        <f ca="1">IFERROR(__xludf.DUMMYFUNCTION("IMPORTRANGE(""https://docs.google.com/spreadsheets/d/1SX6NBoVAgQJ6U1MVXOaj8PK2l7WJ3RER9xtqwdhxkhw/edit?usp=sharing"",""ฉะเชิงเทรา!J239"")"),458.43)</f>
        <v>458.43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IFERROR(__xludf.DUMMYFUNCTION("IMPORTRANGE(""https://docs.google.com/spreadsheets/d/1SX6NBoVAgQJ6U1MVXOaj8PK2l7WJ3RER9xtqwdhxkhw/edit?usp=sharing"",""ฉะเชิงเทรา!I240"")"),210)</f>
        <v>210</v>
      </c>
      <c r="J345" s="188">
        <f ca="1">IFERROR(__xludf.DUMMYFUNCTION("IMPORTRANGE(""https://docs.google.com/spreadsheets/d/1SX6NBoVAgQJ6U1MVXOaj8PK2l7WJ3RER9xtqwdhxkhw/edit?usp=sharing"",""ฉะเชิงเทรา!J240"")"),228)</f>
        <v>228</v>
      </c>
      <c r="K345" s="343">
        <f t="shared" ca="1" si="103"/>
        <v>108.57142857142857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IFERROR(__xludf.DUMMYFUNCTION("IMPORTRANGE(""https://docs.google.com/spreadsheets/d/1SX6NBoVAgQJ6U1MVXOaj8PK2l7WJ3RER9xtqwdhxkhw/edit?usp=sharing"",""ฉะเชิงเทรา!I241"")"),0)</f>
        <v>0</v>
      </c>
      <c r="J346" s="188">
        <f ca="1">IFERROR(__xludf.DUMMYFUNCTION("IMPORTRANGE(""https://docs.google.com/spreadsheets/d/1SX6NBoVAgQJ6U1MVXOaj8PK2l7WJ3RER9xtqwdhxkhw/edit?usp=sharing"",""ฉะเชิงเทรา!J241"")"),3337.37)</f>
        <v>3337.37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IFERROR(__xludf.DUMMYFUNCTION("IMPORTRANGE(""https://docs.google.com/spreadsheets/d/1SX6NBoVAgQJ6U1MVXOaj8PK2l7WJ3RER9xtqwdhxkhw/edit?usp=sharing"",""ฉะเชิงเทรา!L242"")"),2694919)</f>
        <v>2694919</v>
      </c>
      <c r="M347" s="358"/>
      <c r="N347" s="358">
        <f ca="1">IFERROR(__xludf.DUMMYFUNCTION("IMPORTRANGE(""https://docs.google.com/spreadsheets/d/1SX6NBoVAgQJ6U1MVXOaj8PK2l7WJ3RER9xtqwdhxkhw/edit?usp=sharing"",""ฉะเชิงเทรา!M242"")"),1868232.38)</f>
        <v>1868232.38</v>
      </c>
      <c r="O347" s="358">
        <f ca="1">+IF(L347&gt;0,N347*100/L347,0)</f>
        <v>69.324249819753391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IFERROR(__xludf.DUMMYFUNCTION("IMPORTRANGE(""https://docs.google.com/spreadsheets/d/1SX6NBoVAgQJ6U1MVXOaj8PK2l7WJ3RER9xtqwdhxkhw/edit?usp=sharing"",""ฉะเชิงเทรา!I244"")"),64)</f>
        <v>64</v>
      </c>
      <c r="J349" s="371">
        <f ca="1">IFERROR(__xludf.DUMMYFUNCTION("IMPORTRANGE(""https://docs.google.com/spreadsheets/d/1SX6NBoVAgQJ6U1MVXOaj8PK2l7WJ3RER9xtqwdhxkhw/edit?usp=sharing"",""ฉะเชิงเทรา!J244"")"),64)</f>
        <v>64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3"/>
      <c r="N349" s="373">
        <f ca="1">IFERROR(__xludf.DUMMYFUNCTION("IMPORTRANGE(""https://docs.google.com/spreadsheets/d/1SX6NBoVAgQJ6U1MVXOaj8PK2l7WJ3RER9xtqwdhxkhw/edit?usp=sharing"",""ฉะเชิงเทรา!M244"")"),258372.96)</f>
        <v>258372.96</v>
      </c>
      <c r="O349" s="373">
        <f ca="1">+IF(L349&gt;0,N349*100/L349,0)</f>
        <v>79.612053984100569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IFERROR(__xludf.DUMMYFUNCTION("IMPORTRANGE(""https://docs.google.com/spreadsheets/d/1SX6NBoVAgQJ6U1MVXOaj8PK2l7WJ3RER9xtqwdhxkhw/edit?usp=sharing"",""ฉะเชิงเทรา!I245"")"),54)</f>
        <v>54</v>
      </c>
      <c r="J350" s="371">
        <f ca="1">IFERROR(__xludf.DUMMYFUNCTION("IMPORTRANGE(""https://docs.google.com/spreadsheets/d/1SX6NBoVAgQJ6U1MVXOaj8PK2l7WJ3RER9xtqwdhxkhw/edit?usp=sharing"",""ฉะเชิงเทรา!J245"")"),54)</f>
        <v>54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IFERROR(__xludf.DUMMYFUNCTION("IMPORTRANGE(""https://docs.google.com/spreadsheets/d/1SX6NBoVAgQJ6U1MVXOaj8PK2l7WJ3RER9xtqwdhxkhw/edit?usp=sharing"",""ฉะเชิงเทรา!L246"")"),0)</f>
        <v>0</v>
      </c>
      <c r="M351" s="164"/>
      <c r="N351" s="164">
        <f ca="1">IFERROR(__xludf.DUMMYFUNCTION("IMPORTRANGE(""https://docs.google.com/spreadsheets/d/1SX6NBoVAgQJ6U1MVXOaj8PK2l7WJ3RER9xtqwdhxkhw/edit?usp=sharing"",""ฉะเชิงเทรา!M246"")"),0)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5"/>
      <c r="N352" s="164">
        <f ca="1">IFERROR(__xludf.DUMMYFUNCTION("IMPORTRANGE(""https://docs.google.com/spreadsheets/d/1SX6NBoVAgQJ6U1MVXOaj8PK2l7WJ3RER9xtqwdhxkhw/edit?usp=sharing"",""ฉะเชิงเทรา!M247"")"),258372.96)</f>
        <v>258372.96</v>
      </c>
      <c r="O352" s="165">
        <f t="shared" ca="1" si="105"/>
        <v>79.612053984100569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IFERROR(__xludf.DUMMYFUNCTION("IMPORTRANGE(""https://docs.google.com/spreadsheets/d/1SX6NBoVAgQJ6U1MVXOaj8PK2l7WJ3RER9xtqwdhxkhw/edit?usp=sharing"",""ฉะเชิงเทรา!L248"")"),0)</f>
        <v>0</v>
      </c>
      <c r="M353" s="169"/>
      <c r="N353" s="169">
        <f ca="1">IFERROR(__xludf.DUMMYFUNCTION("IMPORTRANGE(""https://docs.google.com/spreadsheets/d/1SX6NBoVAgQJ6U1MVXOaj8PK2l7WJ3RER9xtqwdhxkhw/edit?usp=sharing"",""ฉะเชิงเทรา!M248"")"),0)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IFERROR(__xludf.DUMMYFUNCTION("IMPORTRANGE(""https://docs.google.com/spreadsheets/d/1SX6NBoVAgQJ6U1MVXOaj8PK2l7WJ3RER9xtqwdhxkhw/edit?usp=sharing"",""ฉะเชิงเทรา!L249"")"),324540)</f>
        <v>324540</v>
      </c>
      <c r="M354" s="169"/>
      <c r="N354" s="168">
        <f ca="1">IFERROR(__xludf.DUMMYFUNCTION("IMPORTRANGE(""https://docs.google.com/spreadsheets/d/1SX6NBoVAgQJ6U1MVXOaj8PK2l7WJ3RER9xtqwdhxkhw/edit?usp=sharing"",""ฉะเชิงเทรา!M249"")"),258372.96)</f>
        <v>258372.96</v>
      </c>
      <c r="O354" s="169">
        <f t="shared" ca="1" si="105"/>
        <v>79.612053984100569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IFERROR(__xludf.DUMMYFUNCTION("IMPORTRANGE(""https://docs.google.com/spreadsheets/d/1SX6NBoVAgQJ6U1MVXOaj8PK2l7WJ3RER9xtqwdhxkhw/edit?usp=sharing"",""ฉะเชิงเทรา!M250"")"),66360)</f>
        <v>66360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IFERROR(__xludf.DUMMYFUNCTION("IMPORTRANGE(""https://docs.google.com/spreadsheets/d/1SX6NBoVAgQJ6U1MVXOaj8PK2l7WJ3RER9xtqwdhxkhw/edit?usp=sharing"",""ฉะเชิงเทรา!M251"")"),70800)</f>
        <v>70800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IFERROR(__xludf.DUMMYFUNCTION("IMPORTRANGE(""https://docs.google.com/spreadsheets/d/1SX6NBoVAgQJ6U1MVXOaj8PK2l7WJ3RER9xtqwdhxkhw/edit?usp=sharing"",""ฉะเชิงเทรา!M252"")"),96432.96)</f>
        <v>96432.960000000006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IFERROR(__xludf.DUMMYFUNCTION("IMPORTRANGE(""https://docs.google.com/spreadsheets/d/1SX6NBoVAgQJ6U1MVXOaj8PK2l7WJ3RER9xtqwdhxkhw/edit?usp=sharing"",""ฉะเชิงเทรา!M253"")"),24780)</f>
        <v>24780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IFERROR(__xludf.DUMMYFUNCTION("IMPORTRANGE(""https://docs.google.com/spreadsheets/d/1SX6NBoVAgQJ6U1MVXOaj8PK2l7WJ3RER9xtqwdhxkhw/edit?usp=sharing"",""ฉะเชิงเทรา!J255"")"),0)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IFERROR(__xludf.DUMMYFUNCTION("IMPORTRANGE(""https://docs.google.com/spreadsheets/d/1SX6NBoVAgQJ6U1MVXOaj8PK2l7WJ3RER9xtqwdhxkhw/edit?usp=sharing"",""ฉะเชิงเทรา!J256"")"),1)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IFERROR(__xludf.DUMMYFUNCTION("IMPORTRANGE(""https://docs.google.com/spreadsheets/d/1SX6NBoVAgQJ6U1MVXOaj8PK2l7WJ3RER9xtqwdhxkhw/edit?usp=sharing"",""ฉะเชิงเทรา!J257"")"),1)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IFERROR(__xludf.DUMMYFUNCTION("IMPORTRANGE(""https://docs.google.com/spreadsheets/d/1SX6NBoVAgQJ6U1MVXOaj8PK2l7WJ3RER9xtqwdhxkhw/edit?usp=sharing"",""ฉะเชิงเทรา!J258"")"),1)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IFERROR(__xludf.DUMMYFUNCTION("IMPORTRANGE(""https://docs.google.com/spreadsheets/d/1SX6NBoVAgQJ6U1MVXOaj8PK2l7WJ3RER9xtqwdhxkhw/edit?usp=sharing"",""ฉะเชิงเทรา!J166"")"),0)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IFERROR(__xludf.DUMMYFUNCTION("IMPORTRANGE(""https://docs.google.com/spreadsheets/d/1SX6NBoVAgQJ6U1MVXOaj8PK2l7WJ3RER9xtqwdhxkhw/edit?usp=sharing"",""ฉะเชิงเทรา!J166"")"),0)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IFERROR(__xludf.DUMMYFUNCTION("IMPORTRANGE(""https://docs.google.com/spreadsheets/d/1SX6NBoVAgQJ6U1MVXOaj8PK2l7WJ3RER9xtqwdhxkhw/edit?usp=sharing"",""ฉะเชิงเทรา!J166"")"),0)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IFERROR(__xludf.DUMMYFUNCTION("IMPORTRANGE(""https://docs.google.com/spreadsheets/d/1SX6NBoVAgQJ6U1MVXOaj8PK2l7WJ3RER9xtqwdhxkhw/edit?usp=sharing"",""ฉะเชิงเทรา!J166"")"),0)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IFERROR(__xludf.DUMMYFUNCTION("IMPORTRANGE(""https://docs.google.com/spreadsheets/d/1SX6NBoVAgQJ6U1MVXOaj8PK2l7WJ3RER9xtqwdhxkhw/edit?usp=sharing"",""ฉะเชิงเทรา!I263"")"),54)</f>
        <v>54</v>
      </c>
      <c r="J368" s="188">
        <f ca="1">IFERROR(__xludf.DUMMYFUNCTION("IMPORTRANGE(""https://docs.google.com/spreadsheets/d/1SX6NBoVAgQJ6U1MVXOaj8PK2l7WJ3RER9xtqwdhxkhw/edit?usp=sharing"",""ฉะเชิงเทรา!J263"")"),54)</f>
        <v>54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IFERROR(__xludf.DUMMYFUNCTION("IMPORTRANGE(""https://docs.google.com/spreadsheets/d/1SX6NBoVAgQJ6U1MVXOaj8PK2l7WJ3RER9xtqwdhxkhw/edit?usp=sharing"",""ฉะเชิงเทรา!I164"")"),0)</f>
        <v>0</v>
      </c>
      <c r="J369" s="204">
        <f ca="1">IFERROR(__xludf.DUMMYFUNCTION("IMPORTRANGE(""https://docs.google.com/spreadsheets/d/1SX6NBoVAgQJ6U1MVXOaj8PK2l7WJ3RER9xtqwdhxkhw/edit?usp=sharing"",""ฉะเชิงเทรา!J164"")"),0)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IFERROR(__xludf.DUMMYFUNCTION("IMPORTRANGE(""https://docs.google.com/spreadsheets/d/1SX6NBoVAgQJ6U1MVXOaj8PK2l7WJ3RER9xtqwdhxkhw/edit?usp=sharing"",""ฉะเชิงเทรา!I265"")"),54)</f>
        <v>54</v>
      </c>
      <c r="J370" s="204">
        <f ca="1">IFERROR(__xludf.DUMMYFUNCTION("IMPORTRANGE(""https://docs.google.com/spreadsheets/d/1SX6NBoVAgQJ6U1MVXOaj8PK2l7WJ3RER9xtqwdhxkhw/edit?usp=sharing"",""ฉะเชิงเทรา!J265"")"),54)</f>
        <v>54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IFERROR(__xludf.DUMMYFUNCTION("IMPORTRANGE(""https://docs.google.com/spreadsheets/d/1SX6NBoVAgQJ6U1MVXOaj8PK2l7WJ3RER9xtqwdhxkhw/edit?usp=sharing"",""ฉะเชิงเทรา!I164"")"),0)</f>
        <v>0</v>
      </c>
      <c r="J371" s="189">
        <f ca="1">IFERROR(__xludf.DUMMYFUNCTION("IMPORTRANGE(""https://docs.google.com/spreadsheets/d/1SX6NBoVAgQJ6U1MVXOaj8PK2l7WJ3RER9xtqwdhxkhw/edit?usp=sharing"",""ฉะเชิงเทรา!J164"")"),0)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IFERROR(__xludf.DUMMYFUNCTION("IMPORTRANGE(""https://docs.google.com/spreadsheets/d/1SX6NBoVAgQJ6U1MVXOaj8PK2l7WJ3RER9xtqwdhxkhw/edit?usp=sharing"",""ฉะเชิงเทรา!I267"")"),54)</f>
        <v>54</v>
      </c>
      <c r="J372" s="189">
        <f ca="1">IFERROR(__xludf.DUMMYFUNCTION("IMPORTRANGE(""https://docs.google.com/spreadsheets/d/1SX6NBoVAgQJ6U1MVXOaj8PK2l7WJ3RER9xtqwdhxkhw/edit?usp=sharing"",""ฉะเชิงเทรา!J267"")"),54)</f>
        <v>54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IFERROR(__xludf.DUMMYFUNCTION("IMPORTRANGE(""https://docs.google.com/spreadsheets/d/1SX6NBoVAgQJ6U1MVXOaj8PK2l7WJ3RER9xtqwdhxkhw/edit?usp=sharing"",""ฉะเชิงเทรา!I164"")"),0)</f>
        <v>0</v>
      </c>
      <c r="J373" s="204">
        <f ca="1">IFERROR(__xludf.DUMMYFUNCTION("IMPORTRANGE(""https://docs.google.com/spreadsheets/d/1SX6NBoVAgQJ6U1MVXOaj8PK2l7WJ3RER9xtqwdhxkhw/edit?usp=sharing"",""ฉะเชิงเทรา!J164"")"),0)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IFERROR(__xludf.DUMMYFUNCTION("IMPORTRANGE(""https://docs.google.com/spreadsheets/d/1SX6NBoVAgQJ6U1MVXOaj8PK2l7WJ3RER9xtqwdhxkhw/edit?usp=sharing"",""ฉะเชิงเทรา!I164"")"),0)</f>
        <v>0</v>
      </c>
      <c r="J374" s="188">
        <f ca="1">IFERROR(__xludf.DUMMYFUNCTION("IMPORTRANGE(""https://docs.google.com/spreadsheets/d/1SX6NBoVAgQJ6U1MVXOaj8PK2l7WJ3RER9xtqwdhxkhw/edit?usp=sharing"",""ฉะเชิงเทรา!J164"")"),0)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IFERROR(__xludf.DUMMYFUNCTION("IMPORTRANGE(""https://docs.google.com/spreadsheets/d/1SX6NBoVAgQJ6U1MVXOaj8PK2l7WJ3RER9xtqwdhxkhw/edit?usp=sharing"",""ฉะเชิงเทรา!I270"")"),64)</f>
        <v>64</v>
      </c>
      <c r="J375" s="188">
        <f ca="1">IFERROR(__xludf.DUMMYFUNCTION("IMPORTRANGE(""https://docs.google.com/spreadsheets/d/1SX6NBoVAgQJ6U1MVXOaj8PK2l7WJ3RER9xtqwdhxkhw/edit?usp=sharing"",""ฉะเชิงเทรา!J270"")"),64)</f>
        <v>64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IFERROR(__xludf.DUMMYFUNCTION("IMPORTRANGE(""https://docs.google.com/spreadsheets/d/1SX6NBoVAgQJ6U1MVXOaj8PK2l7WJ3RER9xtqwdhxkhw/edit?usp=sharing"",""ฉะเชิงเทรา!I271"")"),20)</f>
        <v>20</v>
      </c>
      <c r="J376" s="189">
        <f ca="1">IFERROR(__xludf.DUMMYFUNCTION("IMPORTRANGE(""https://docs.google.com/spreadsheets/d/1SX6NBoVAgQJ6U1MVXOaj8PK2l7WJ3RER9xtqwdhxkhw/edit?usp=sharing"",""ฉะเชิงเทรา!J271"")"),20)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IFERROR(__xludf.DUMMYFUNCTION("IMPORTRANGE(""https://docs.google.com/spreadsheets/d/1SX6NBoVAgQJ6U1MVXOaj8PK2l7WJ3RER9xtqwdhxkhw/edit?usp=sharing"",""ฉะเชิงเทรา!I272"")"),44)</f>
        <v>44</v>
      </c>
      <c r="J377" s="204">
        <f ca="1">IFERROR(__xludf.DUMMYFUNCTION("IMPORTRANGE(""https://docs.google.com/spreadsheets/d/1SX6NBoVAgQJ6U1MVXOaj8PK2l7WJ3RER9xtqwdhxkhw/edit?usp=sharing"",""ฉะเชิงเทรา!J272"")"),44)</f>
        <v>44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IFERROR(__xludf.DUMMYFUNCTION("IMPORTRANGE(""https://docs.google.com/spreadsheets/d/1SX6NBoVAgQJ6U1MVXOaj8PK2l7WJ3RER9xtqwdhxkhw/edit?usp=sharing"",""ฉะเชิงเทรา!J273"")"),0)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IFERROR(__xludf.DUMMYFUNCTION("IMPORTRANGE(""https://docs.google.com/spreadsheets/d/1SX6NBoVAgQJ6U1MVXOaj8PK2l7WJ3RER9xtqwdhxkhw/edit?usp=sharing"",""ฉะเชิงเทรา!J274"")"),0)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IFERROR(__xludf.DUMMYFUNCTION("IMPORTRANGE(""https://docs.google.com/spreadsheets/d/1SX6NBoVAgQJ6U1MVXOaj8PK2l7WJ3RER9xtqwdhxkhw/edit?usp=sharing"",""ฉะเชิงเทรา!I275"")"),1000)</f>
        <v>1000</v>
      </c>
      <c r="J380" s="371">
        <f ca="1">IFERROR(__xludf.DUMMYFUNCTION("IMPORTRANGE(""https://docs.google.com/spreadsheets/d/1SX6NBoVAgQJ6U1MVXOaj8PK2l7WJ3RER9xtqwdhxkhw/edit?usp=sharing"",""ฉะเชิงเทรา!J275"")"),1000)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3"/>
      <c r="N380" s="373">
        <f ca="1">IFERROR(__xludf.DUMMYFUNCTION("IMPORTRANGE(""https://docs.google.com/spreadsheets/d/1SX6NBoVAgQJ6U1MVXOaj8PK2l7WJ3RER9xtqwdhxkhw/edit?usp=sharing"",""ฉะเชิงเทรา!M275"")"),678766.1)</f>
        <v>678766.1</v>
      </c>
      <c r="O380" s="373">
        <f ca="1">+IF(L380&gt;0,N380*100/L380,0)</f>
        <v>65.994448333527785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IFERROR(__xludf.DUMMYFUNCTION("IMPORTRANGE(""https://docs.google.com/spreadsheets/d/1SX6NBoVAgQJ6U1MVXOaj8PK2l7WJ3RER9xtqwdhxkhw/edit?usp=sharing"",""ฉะเชิงเทรา!I276"")"),100)</f>
        <v>100</v>
      </c>
      <c r="J381" s="371">
        <f ca="1">IFERROR(__xludf.DUMMYFUNCTION("IMPORTRANGE(""https://docs.google.com/spreadsheets/d/1SX6NBoVAgQJ6U1MVXOaj8PK2l7WJ3RER9xtqwdhxkhw/edit?usp=sharing"",""ฉะเชิงเทรา!J276"")"),100)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IFERROR(__xludf.DUMMYFUNCTION("IMPORTRANGE(""https://docs.google.com/spreadsheets/d/1SX6NBoVAgQJ6U1MVXOaj8PK2l7WJ3RER9xtqwdhxkhw/edit?usp=sharing"",""ฉะเชิงเทรา!L277"")"),0)</f>
        <v>0</v>
      </c>
      <c r="M382" s="164"/>
      <c r="N382" s="164">
        <f ca="1">IFERROR(__xludf.DUMMYFUNCTION("IMPORTRANGE(""https://docs.google.com/spreadsheets/d/1SX6NBoVAgQJ6U1MVXOaj8PK2l7WJ3RER9xtqwdhxkhw/edit?usp=sharing"",""ฉะเชิงเทรา!M277"")"),0)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5"/>
      <c r="N383" s="165">
        <f ca="1">IFERROR(__xludf.DUMMYFUNCTION("IMPORTRANGE(""https://docs.google.com/spreadsheets/d/1SX6NBoVAgQJ6U1MVXOaj8PK2l7WJ3RER9xtqwdhxkhw/edit?usp=sharing"",""ฉะเชิงเทรา!M278"")"),678766.1)</f>
        <v>678766.1</v>
      </c>
      <c r="O383" s="165">
        <f t="shared" ca="1" si="109"/>
        <v>65.994448333527785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IFERROR(__xludf.DUMMYFUNCTION("IMPORTRANGE(""https://docs.google.com/spreadsheets/d/1SX6NBoVAgQJ6U1MVXOaj8PK2l7WJ3RER9xtqwdhxkhw/edit?usp=sharing"",""ฉะเชิงเทรา!L279"")"),0)</f>
        <v>0</v>
      </c>
      <c r="M384" s="169"/>
      <c r="N384" s="169">
        <f ca="1">IFERROR(__xludf.DUMMYFUNCTION("IMPORTRANGE(""https://docs.google.com/spreadsheets/d/1SX6NBoVAgQJ6U1MVXOaj8PK2l7WJ3RER9xtqwdhxkhw/edit?usp=sharing"",""ฉะเชิงเทรา!M279"")"),0)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69"/>
      <c r="N385" s="168">
        <f ca="1">IFERROR(__xludf.DUMMYFUNCTION("IMPORTRANGE(""https://docs.google.com/spreadsheets/d/1SX6NBoVAgQJ6U1MVXOaj8PK2l7WJ3RER9xtqwdhxkhw/edit?usp=sharing"",""ฉะเชิงเทรา!M280"")"),678766.1)</f>
        <v>678766.1</v>
      </c>
      <c r="O385" s="169">
        <f t="shared" ca="1" si="109"/>
        <v>65.994448333527785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IFERROR(__xludf.DUMMYFUNCTION("IMPORTRANGE(""https://docs.google.com/spreadsheets/d/1SX6NBoVAgQJ6U1MVXOaj8PK2l7WJ3RER9xtqwdhxkhw/edit?usp=sharing"",""ฉะเชิงเทรา!M281"")"),198000)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IFERROR(__xludf.DUMMYFUNCTION("IMPORTRANGE(""https://docs.google.com/spreadsheets/d/1SX6NBoVAgQJ6U1MVXOaj8PK2l7WJ3RER9xtqwdhxkhw/edit?usp=sharing"",""ฉะเชิงเทรา!M282"")"),362321)</f>
        <v>362321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IFERROR(__xludf.DUMMYFUNCTION("IMPORTRANGE(""https://docs.google.com/spreadsheets/d/1SX6NBoVAgQJ6U1MVXOaj8PK2l7WJ3RER9xtqwdhxkhw/edit?usp=sharing"",""ฉะเชิงเทรา!M283"")"),93500.1)</f>
        <v>93500.1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IFERROR(__xludf.DUMMYFUNCTION("IMPORTRANGE(""https://docs.google.com/spreadsheets/d/1SX6NBoVAgQJ6U1MVXOaj8PK2l7WJ3RER9xtqwdhxkhw/edit?usp=sharing"",""ฉะเชิงเทรา!M284"")"),24945)</f>
        <v>24945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IFERROR(__xludf.DUMMYFUNCTION("IMPORTRANGE(""https://docs.google.com/spreadsheets/d/1SX6NBoVAgQJ6U1MVXOaj8PK2l7WJ3RER9xtqwdhxkhw/edit?usp=sharing"",""ฉะเชิงเทรา!J286"")"),0)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IFERROR(__xludf.DUMMYFUNCTION("IMPORTRANGE(""https://docs.google.com/spreadsheets/d/1SX6NBoVAgQJ6U1MVXOaj8PK2l7WJ3RER9xtqwdhxkhw/edit?usp=sharing"",""ฉะเชิงเทรา!J287"")"),1)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IFERROR(__xludf.DUMMYFUNCTION("IMPORTRANGE(""https://docs.google.com/spreadsheets/d/1SX6NBoVAgQJ6U1MVXOaj8PK2l7WJ3RER9xtqwdhxkhw/edit?usp=sharing"",""ฉะเชิงเทรา!J288"")"),1)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IFERROR(__xludf.DUMMYFUNCTION("IMPORTRANGE(""https://docs.google.com/spreadsheets/d/1SX6NBoVAgQJ6U1MVXOaj8PK2l7WJ3RER9xtqwdhxkhw/edit?usp=sharing"",""ฉะเชิงเทรา!J289"")"),1)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IFERROR(__xludf.DUMMYFUNCTION("IMPORTRANGE(""https://docs.google.com/spreadsheets/d/1SX6NBoVAgQJ6U1MVXOaj8PK2l7WJ3RER9xtqwdhxkhw/edit?usp=sharing"",""ฉะเชิงเทรา!I291"")"),100)</f>
        <v>100</v>
      </c>
      <c r="J396" s="198">
        <f ca="1">IFERROR(__xludf.DUMMYFUNCTION("IMPORTRANGE(""https://docs.google.com/spreadsheets/d/1SX6NBoVAgQJ6U1MVXOaj8PK2l7WJ3RER9xtqwdhxkhw/edit?usp=sharing"",""ฉะเชิงเทรา!J291"")"),100)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IFERROR(__xludf.DUMMYFUNCTION("IMPORTRANGE(""https://docs.google.com/spreadsheets/d/1SX6NBoVAgQJ6U1MVXOaj8PK2l7WJ3RER9xtqwdhxkhw/edit?usp=sharing"",""ฉะเชิงเทรา!I292"")"),1000)</f>
        <v>1000</v>
      </c>
      <c r="J397" s="198">
        <f ca="1">IFERROR(__xludf.DUMMYFUNCTION("IMPORTRANGE(""https://docs.google.com/spreadsheets/d/1SX6NBoVAgQJ6U1MVXOaj8PK2l7WJ3RER9xtqwdhxkhw/edit?usp=sharing"",""ฉะเชิงเทรา!J292"")"),1000)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IFERROR(__xludf.DUMMYFUNCTION("IMPORTRANGE(""https://docs.google.com/spreadsheets/d/1SX6NBoVAgQJ6U1MVXOaj8PK2l7WJ3RER9xtqwdhxkhw/edit?usp=sharing"",""ฉะเชิงเทรา!I293"")"),100)</f>
        <v>100</v>
      </c>
      <c r="J398" s="198">
        <f ca="1">IFERROR(__xludf.DUMMYFUNCTION("IMPORTRANGE(""https://docs.google.com/spreadsheets/d/1SX6NBoVAgQJ6U1MVXOaj8PK2l7WJ3RER9xtqwdhxkhw/edit?usp=sharing"",""ฉะเชิงเทรา!J293"")"),100)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IFERROR(__xludf.DUMMYFUNCTION("IMPORTRANGE(""https://docs.google.com/spreadsheets/d/1SX6NBoVAgQJ6U1MVXOaj8PK2l7WJ3RER9xtqwdhxkhw/edit?usp=sharing"",""ฉะเชิงเทรา!J294"")"),0)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IFERROR(__xludf.DUMMYFUNCTION("IMPORTRANGE(""https://docs.google.com/spreadsheets/d/1SX6NBoVAgQJ6U1MVXOaj8PK2l7WJ3RER9xtqwdhxkhw/edit?usp=sharing"",""ฉะเชิงเทรา!J295"")"),0)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IFERROR(__xludf.DUMMYFUNCTION("IMPORTRANGE(""https://docs.google.com/spreadsheets/d/1SX6NBoVAgQJ6U1MVXOaj8PK2l7WJ3RER9xtqwdhxkhw/edit?usp=sharing"",""ฉะเชิงเทรา!I296"")"),240)</f>
        <v>240</v>
      </c>
      <c r="J401" s="371">
        <f ca="1">IFERROR(__xludf.DUMMYFUNCTION("IMPORTRANGE(""https://docs.google.com/spreadsheets/d/1SX6NBoVAgQJ6U1MVXOaj8PK2l7WJ3RER9xtqwdhxkhw/edit?usp=sharing"",""ฉะเชิงเทรา!J296"")"),240)</f>
        <v>240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3"/>
      <c r="N401" s="373">
        <f ca="1">IFERROR(__xludf.DUMMYFUNCTION("IMPORTRANGE(""https://docs.google.com/spreadsheets/d/1SX6NBoVAgQJ6U1MVXOaj8PK2l7WJ3RER9xtqwdhxkhw/edit?usp=sharing"",""ฉะเชิงเทรา!M296"")"),252880)</f>
        <v>252880</v>
      </c>
      <c r="O401" s="373">
        <f ca="1">+IF(L401&gt;0,N401*100/L401,0)</f>
        <v>94.527511961722482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IFERROR(__xludf.DUMMYFUNCTION("IMPORTRANGE(""https://docs.google.com/spreadsheets/d/1SX6NBoVAgQJ6U1MVXOaj8PK2l7WJ3RER9xtqwdhxkhw/edit?usp=sharing"",""ฉะเชิงเทรา!I297"")"),80)</f>
        <v>80</v>
      </c>
      <c r="J402" s="371">
        <f ca="1">IFERROR(__xludf.DUMMYFUNCTION("IMPORTRANGE(""https://docs.google.com/spreadsheets/d/1SX6NBoVAgQJ6U1MVXOaj8PK2l7WJ3RER9xtqwdhxkhw/edit?usp=sharing"",""ฉะเชิงเทรา!J297"")"),80)</f>
        <v>80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IFERROR(__xludf.DUMMYFUNCTION("IMPORTRANGE(""https://docs.google.com/spreadsheets/d/1SX6NBoVAgQJ6U1MVXOaj8PK2l7WJ3RER9xtqwdhxkhw/edit?usp=sharing"",""ฉะเชิงเทรา!L298"")"),0)</f>
        <v>0</v>
      </c>
      <c r="M403" s="164"/>
      <c r="N403" s="169">
        <f ca="1">IFERROR(__xludf.DUMMYFUNCTION("IMPORTRANGE(""https://docs.google.com/spreadsheets/d/1SX6NBoVAgQJ6U1MVXOaj8PK2l7WJ3RER9xtqwdhxkhw/edit?usp=sharing"",""ฉะเชิงเทรา!M298"")"),0)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5"/>
      <c r="N404" s="169">
        <f ca="1">IFERROR(__xludf.DUMMYFUNCTION("IMPORTRANGE(""https://docs.google.com/spreadsheets/d/1SX6NBoVAgQJ6U1MVXOaj8PK2l7WJ3RER9xtqwdhxkhw/edit?usp=sharing"",""ฉะเชิงเทรา!M299"")"),252880)</f>
        <v>252880</v>
      </c>
      <c r="O404" s="169">
        <f t="shared" ca="1" si="112"/>
        <v>94.527511961722482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IFERROR(__xludf.DUMMYFUNCTION("IMPORTRANGE(""https://docs.google.com/spreadsheets/d/1SX6NBoVAgQJ6U1MVXOaj8PK2l7WJ3RER9xtqwdhxkhw/edit?usp=sharing"",""ฉะเชิงเทรา!L300"")"),0)</f>
        <v>0</v>
      </c>
      <c r="M405" s="169"/>
      <c r="N405" s="169">
        <f ca="1">IFERROR(__xludf.DUMMYFUNCTION("IMPORTRANGE(""https://docs.google.com/spreadsheets/d/1SX6NBoVAgQJ6U1MVXOaj8PK2l7WJ3RER9xtqwdhxkhw/edit?usp=sharing"",""ฉะเชิงเทรา!M300"")"),0)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IFERROR(__xludf.DUMMYFUNCTION("IMPORTRANGE(""https://docs.google.com/spreadsheets/d/1SX6NBoVAgQJ6U1MVXOaj8PK2l7WJ3RER9xtqwdhxkhw/edit?usp=sharing"",""ฉะเชิงเทรา!L301"")"),267520)</f>
        <v>267520</v>
      </c>
      <c r="M406" s="169"/>
      <c r="N406" s="169">
        <f ca="1">IFERROR(__xludf.DUMMYFUNCTION("IMPORTRANGE(""https://docs.google.com/spreadsheets/d/1SX6NBoVAgQJ6U1MVXOaj8PK2l7WJ3RER9xtqwdhxkhw/edit?usp=sharing"",""ฉะเชิงเทรา!M301"")"),252880)</f>
        <v>252880</v>
      </c>
      <c r="O406" s="169">
        <f t="shared" ca="1" si="112"/>
        <v>94.527511961722482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IFERROR(__xludf.DUMMYFUNCTION("IMPORTRANGE(""https://docs.google.com/spreadsheets/d/1SX6NBoVAgQJ6U1MVXOaj8PK2l7WJ3RER9xtqwdhxkhw/edit?usp=sharing"",""ฉะเชิงเทรา!M302"")"),156780)</f>
        <v>156780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IFERROR(__xludf.DUMMYFUNCTION("IMPORTRANGE(""https://docs.google.com/spreadsheets/d/1SX6NBoVAgQJ6U1MVXOaj8PK2l7WJ3RER9xtqwdhxkhw/edit?usp=sharing"",""ฉะเชิงเทรา!M303"")"),73000)</f>
        <v>73000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IFERROR(__xludf.DUMMYFUNCTION("IMPORTRANGE(""https://docs.google.com/spreadsheets/d/1SX6NBoVAgQJ6U1MVXOaj8PK2l7WJ3RER9xtqwdhxkhw/edit?usp=sharing"",""ฉะเชิงเทรา!M304"")"),0)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IFERROR(__xludf.DUMMYFUNCTION("IMPORTRANGE(""https://docs.google.com/spreadsheets/d/1SX6NBoVAgQJ6U1MVXOaj8PK2l7WJ3RER9xtqwdhxkhw/edit?usp=sharing"",""ฉะเชิงเทรา!M305"")"),23100)</f>
        <v>23100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IFERROR(__xludf.DUMMYFUNCTION("IMPORTRANGE(""https://docs.google.com/spreadsheets/d/1SX6NBoVAgQJ6U1MVXOaj8PK2l7WJ3RER9xtqwdhxkhw/edit?usp=sharing"",""ฉะเชิงเทรา!J307"")"),0)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IFERROR(__xludf.DUMMYFUNCTION("IMPORTRANGE(""https://docs.google.com/spreadsheets/d/1SX6NBoVAgQJ6U1MVXOaj8PK2l7WJ3RER9xtqwdhxkhw/edit?usp=sharing"",""ฉะเชิงเทรา!J308"")"),1)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IFERROR(__xludf.DUMMYFUNCTION("IMPORTRANGE(""https://docs.google.com/spreadsheets/d/1SX6NBoVAgQJ6U1MVXOaj8PK2l7WJ3RER9xtqwdhxkhw/edit?usp=sharing"",""ฉะเชิงเทรา!J309"")"),1)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IFERROR(__xludf.DUMMYFUNCTION("IMPORTRANGE(""https://docs.google.com/spreadsheets/d/1SX6NBoVAgQJ6U1MVXOaj8PK2l7WJ3RER9xtqwdhxkhw/edit?usp=sharing"",""ฉะเชิงเทรา!J310"")"),1)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IFERROR(__xludf.DUMMYFUNCTION("IMPORTRANGE(""https://docs.google.com/spreadsheets/d/1SX6NBoVAgQJ6U1MVXOaj8PK2l7WJ3RER9xtqwdhxkhw/edit?usp=sharing"",""ฉะเชิงเทรา!I311"")"),80)</f>
        <v>80</v>
      </c>
      <c r="J416" s="201">
        <f ca="1">IFERROR(__xludf.DUMMYFUNCTION("IMPORTRANGE(""https://docs.google.com/spreadsheets/d/1SX6NBoVAgQJ6U1MVXOaj8PK2l7WJ3RER9xtqwdhxkhw/edit?usp=sharing"",""ฉะเชิงเทรา!J311"")"),80)</f>
        <v>80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IFERROR(__xludf.DUMMYFUNCTION("IMPORTRANGE(""https://docs.google.com/spreadsheets/d/1SX6NBoVAgQJ6U1MVXOaj8PK2l7WJ3RER9xtqwdhxkhw/edit?usp=sharing"",""ฉะเชิงเทรา!I312"")"),30)</f>
        <v>30</v>
      </c>
      <c r="J417" s="392">
        <f ca="1">IFERROR(__xludf.DUMMYFUNCTION("IMPORTRANGE(""https://docs.google.com/spreadsheets/d/1SX6NBoVAgQJ6U1MVXOaj8PK2l7WJ3RER9xtqwdhxkhw/edit?usp=sharing"",""ฉะเชิงเทรา!J312"")"),30)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IFERROR(__xludf.DUMMYFUNCTION("IMPORTRANGE(""https://docs.google.com/spreadsheets/d/1SX6NBoVAgQJ6U1MVXOaj8PK2l7WJ3RER9xtqwdhxkhw/edit?usp=sharing"",""ฉะเชิงเทรา!I313"")"),90)</f>
        <v>90</v>
      </c>
      <c r="J418" s="393">
        <f ca="1">IFERROR(__xludf.DUMMYFUNCTION("IMPORTRANGE(""https://docs.google.com/spreadsheets/d/1SX6NBoVAgQJ6U1MVXOaj8PK2l7WJ3RER9xtqwdhxkhw/edit?usp=sharing"",""ฉะเชิงเทรา!J313"")"),90)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IFERROR(__xludf.DUMMYFUNCTION("IMPORTRANGE(""https://docs.google.com/spreadsheets/d/1SX6NBoVAgQJ6U1MVXOaj8PK2l7WJ3RER9xtqwdhxkhw/edit?usp=sharing"",""ฉะเชิงเทรา!I314"")"),30)</f>
        <v>30</v>
      </c>
      <c r="J419" s="394">
        <f ca="1">IFERROR(__xludf.DUMMYFUNCTION("IMPORTRANGE(""https://docs.google.com/spreadsheets/d/1SX6NBoVAgQJ6U1MVXOaj8PK2l7WJ3RER9xtqwdhxkhw/edit?usp=sharing"",""ฉะเชิงเทรา!J314"")"),30)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IFERROR(__xludf.DUMMYFUNCTION("IMPORTRANGE(""https://docs.google.com/spreadsheets/d/1SX6NBoVAgQJ6U1MVXOaj8PK2l7WJ3RER9xtqwdhxkhw/edit?usp=sharing"",""ฉะเชิงเทรา!I315"")"),30)</f>
        <v>30</v>
      </c>
      <c r="J420" s="394">
        <f ca="1">IFERROR(__xludf.DUMMYFUNCTION("IMPORTRANGE(""https://docs.google.com/spreadsheets/d/1SX6NBoVAgQJ6U1MVXOaj8PK2l7WJ3RER9xtqwdhxkhw/edit?usp=sharing"",""ฉะเชิงเทรา!J315"")"),30)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IFERROR(__xludf.DUMMYFUNCTION("IMPORTRANGE(""https://docs.google.com/spreadsheets/d/1SX6NBoVAgQJ6U1MVXOaj8PK2l7WJ3RER9xtqwdhxkhw/edit?usp=sharing"",""ฉะเชิงเทรา!I316"")"),40)</f>
        <v>40</v>
      </c>
      <c r="J421" s="392">
        <f ca="1">IFERROR(__xludf.DUMMYFUNCTION("IMPORTRANGE(""https://docs.google.com/spreadsheets/d/1SX6NBoVAgQJ6U1MVXOaj8PK2l7WJ3RER9xtqwdhxkhw/edit?usp=sharing"",""ฉะเชิงเทรา!J316"")"),40)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IFERROR(__xludf.DUMMYFUNCTION("IMPORTRANGE(""https://docs.google.com/spreadsheets/d/1SX6NBoVAgQJ6U1MVXOaj8PK2l7WJ3RER9xtqwdhxkhw/edit?usp=sharing"",""ฉะเชิงเทรา!I317"")"),120)</f>
        <v>120</v>
      </c>
      <c r="J422" s="393">
        <f ca="1">IFERROR(__xludf.DUMMYFUNCTION("IMPORTRANGE(""https://docs.google.com/spreadsheets/d/1SX6NBoVAgQJ6U1MVXOaj8PK2l7WJ3RER9xtqwdhxkhw/edit?usp=sharing"",""ฉะเชิงเทรา!J317"")"),120)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IFERROR(__xludf.DUMMYFUNCTION("IMPORTRANGE(""https://docs.google.com/spreadsheets/d/1SX6NBoVAgQJ6U1MVXOaj8PK2l7WJ3RER9xtqwdhxkhw/edit?usp=sharing"",""ฉะเชิงเทรา!I318"")"),40)</f>
        <v>40</v>
      </c>
      <c r="J423" s="394">
        <f ca="1">IFERROR(__xludf.DUMMYFUNCTION("IMPORTRANGE(""https://docs.google.com/spreadsheets/d/1SX6NBoVAgQJ6U1MVXOaj8PK2l7WJ3RER9xtqwdhxkhw/edit?usp=sharing"",""ฉะเชิงเทรา!J318"")"),40)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IFERROR(__xludf.DUMMYFUNCTION("IMPORTRANGE(""https://docs.google.com/spreadsheets/d/1SX6NBoVAgQJ6U1MVXOaj8PK2l7WJ3RER9xtqwdhxkhw/edit?usp=sharing"",""ฉะเชิงเทรา!I319"")"),40)</f>
        <v>40</v>
      </c>
      <c r="J424" s="394">
        <f ca="1">IFERROR(__xludf.DUMMYFUNCTION("IMPORTRANGE(""https://docs.google.com/spreadsheets/d/1SX6NBoVAgQJ6U1MVXOaj8PK2l7WJ3RER9xtqwdhxkhw/edit?usp=sharing"",""ฉะเชิงเทรา!J319"")"),40)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IFERROR(__xludf.DUMMYFUNCTION("IMPORTRANGE(""https://docs.google.com/spreadsheets/d/1SX6NBoVAgQJ6U1MVXOaj8PK2l7WJ3RER9xtqwdhxkhw/edit?usp=sharing"",""ฉะเชิงเทรา!I320"")"),40)</f>
        <v>40</v>
      </c>
      <c r="J425" s="394">
        <f ca="1">IFERROR(__xludf.DUMMYFUNCTION("IMPORTRANGE(""https://docs.google.com/spreadsheets/d/1SX6NBoVAgQJ6U1MVXOaj8PK2l7WJ3RER9xtqwdhxkhw/edit?usp=sharing"",""ฉะเชิงเทรา!J320"")"),40)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IFERROR(__xludf.DUMMYFUNCTION("IMPORTRANGE(""https://docs.google.com/spreadsheets/d/1SX6NBoVAgQJ6U1MVXOaj8PK2l7WJ3RER9xtqwdhxkhw/edit?usp=sharing"",""ฉะเชิงเทรา!I321"")"),10)</f>
        <v>10</v>
      </c>
      <c r="J426" s="392">
        <f ca="1">IFERROR(__xludf.DUMMYFUNCTION("IMPORTRANGE(""https://docs.google.com/spreadsheets/d/1SX6NBoVAgQJ6U1MVXOaj8PK2l7WJ3RER9xtqwdhxkhw/edit?usp=sharing"",""ฉะเชิงเทรา!J321"")"),10)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IFERROR(__xludf.DUMMYFUNCTION("IMPORTRANGE(""https://docs.google.com/spreadsheets/d/1SX6NBoVAgQJ6U1MVXOaj8PK2l7WJ3RER9xtqwdhxkhw/edit?usp=sharing"",""ฉะเชิงเทรา!I322"")"),30)</f>
        <v>30</v>
      </c>
      <c r="J427" s="393">
        <f ca="1">IFERROR(__xludf.DUMMYFUNCTION("IMPORTRANGE(""https://docs.google.com/spreadsheets/d/1SX6NBoVAgQJ6U1MVXOaj8PK2l7WJ3RER9xtqwdhxkhw/edit?usp=sharing"",""ฉะเชิงเทรา!J322"")"),30)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IFERROR(__xludf.DUMMYFUNCTION("IMPORTRANGE(""https://docs.google.com/spreadsheets/d/1SX6NBoVAgQJ6U1MVXOaj8PK2l7WJ3RER9xtqwdhxkhw/edit?usp=sharing"",""ฉะเชิงเทรา!I323"")"),10)</f>
        <v>10</v>
      </c>
      <c r="J428" s="394">
        <f ca="1">IFERROR(__xludf.DUMMYFUNCTION("IMPORTRANGE(""https://docs.google.com/spreadsheets/d/1SX6NBoVAgQJ6U1MVXOaj8PK2l7WJ3RER9xtqwdhxkhw/edit?usp=sharing"",""ฉะเชิงเทรา!J323"")"),10)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IFERROR(__xludf.DUMMYFUNCTION("IMPORTRANGE(""https://docs.google.com/spreadsheets/d/1SX6NBoVAgQJ6U1MVXOaj8PK2l7WJ3RER9xtqwdhxkhw/edit?usp=sharing"",""ฉะเชิงเทรา!I324"")"),10)</f>
        <v>10</v>
      </c>
      <c r="J429" s="394">
        <f ca="1">IFERROR(__xludf.DUMMYFUNCTION("IMPORTRANGE(""https://docs.google.com/spreadsheets/d/1SX6NBoVAgQJ6U1MVXOaj8PK2l7WJ3RER9xtqwdhxkhw/edit?usp=sharing"",""ฉะเชิงเทรา!J324"")"),10)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IFERROR(__xludf.DUMMYFUNCTION("IMPORTRANGE(""https://docs.google.com/spreadsheets/d/1SX6NBoVAgQJ6U1MVXOaj8PK2l7WJ3RER9xtqwdhxkhw/edit?usp=sharing"",""ฉะเชิงเทรา!I325"")"),70)</f>
        <v>70</v>
      </c>
      <c r="J430" s="392">
        <f ca="1">IFERROR(__xludf.DUMMYFUNCTION("IMPORTRANGE(""https://docs.google.com/spreadsheets/d/1SX6NBoVAgQJ6U1MVXOaj8PK2l7WJ3RER9xtqwdhxkhw/edit?usp=sharing"",""ฉะเชิงเทรา!J325"")"),70)</f>
        <v>70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IFERROR(__xludf.DUMMYFUNCTION("IMPORTRANGE(""https://docs.google.com/spreadsheets/d/1SX6NBoVAgQJ6U1MVXOaj8PK2l7WJ3RER9xtqwdhxkhw/edit?usp=sharing"",""ฉะเชิงเทรา!I326"")"),30)</f>
        <v>30</v>
      </c>
      <c r="J431" s="394">
        <f ca="1">IFERROR(__xludf.DUMMYFUNCTION("IMPORTRANGE(""https://docs.google.com/spreadsheets/d/1SX6NBoVAgQJ6U1MVXOaj8PK2l7WJ3RER9xtqwdhxkhw/edit?usp=sharing"",""ฉะเชิงเทรา!J326"")"),30)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IFERROR(__xludf.DUMMYFUNCTION("IMPORTRANGE(""https://docs.google.com/spreadsheets/d/1SX6NBoVAgQJ6U1MVXOaj8PK2l7WJ3RER9xtqwdhxkhw/edit?usp=sharing"",""ฉะเชิงเทรา!I327"")"),40)</f>
        <v>40</v>
      </c>
      <c r="J432" s="394">
        <f ca="1">IFERROR(__xludf.DUMMYFUNCTION("IMPORTRANGE(""https://docs.google.com/spreadsheets/d/1SX6NBoVAgQJ6U1MVXOaj8PK2l7WJ3RER9xtqwdhxkhw/edit?usp=sharing"",""ฉะเชิงเทรา!J327"")"),40)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IFERROR(__xludf.DUMMYFUNCTION("IMPORTRANGE(""https://docs.google.com/spreadsheets/d/1SX6NBoVAgQJ6U1MVXOaj8PK2l7WJ3RER9xtqwdhxkhw/edit?usp=sharing"",""ฉะเชิงเทรา!J328"")"),1)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IFERROR(__xludf.DUMMYFUNCTION("IMPORTRANGE(""https://docs.google.com/spreadsheets/d/1SX6NBoVAgQJ6U1MVXOaj8PK2l7WJ3RER9xtqwdhxkhw/edit?usp=sharing"",""ฉะเชิงเทรา!J329"")"),0)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IFERROR(__xludf.DUMMYFUNCTION("IMPORTRANGE(""https://docs.google.com/spreadsheets/d/1SX6NBoVAgQJ6U1MVXOaj8PK2l7WJ3RER9xtqwdhxkhw/edit?usp=sharing"",""ฉะเชิงเทรา!I330"")"),60)</f>
        <v>60</v>
      </c>
      <c r="J435" s="410">
        <f ca="1">IFERROR(__xludf.DUMMYFUNCTION("IMPORTRANGE(""https://docs.google.com/spreadsheets/d/1SX6NBoVAgQJ6U1MVXOaj8PK2l7WJ3RER9xtqwdhxkhw/edit?usp=sharing"",""ฉะเชิงเทรา!J330"")"),60)</f>
        <v>60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2"/>
      <c r="N435" s="412">
        <f ca="1">IFERROR(__xludf.DUMMYFUNCTION("IMPORTRANGE(""https://docs.google.com/spreadsheets/d/1SX6NBoVAgQJ6U1MVXOaj8PK2l7WJ3RER9xtqwdhxkhw/edit?usp=sharing"",""ฉะเชิงเทรา!M330"")"),178120)</f>
        <v>178120</v>
      </c>
      <c r="O435" s="412">
        <f t="shared" ref="O435:O439" ca="1" si="114">+IF(L435&gt;0,N435*100/L435,0)</f>
        <v>96.804347826086953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IFERROR(__xludf.DUMMYFUNCTION("IMPORTRANGE(""https://docs.google.com/spreadsheets/d/1SX6NBoVAgQJ6U1MVXOaj8PK2l7WJ3RER9xtqwdhxkhw/edit?usp=sharing"",""ฉะเชิงเทรา!L331"")"),0)</f>
        <v>0</v>
      </c>
      <c r="M436" s="164"/>
      <c r="N436" s="169">
        <f ca="1">IFERROR(__xludf.DUMMYFUNCTION("IMPORTRANGE(""https://docs.google.com/spreadsheets/d/1SX6NBoVAgQJ6U1MVXOaj8PK2l7WJ3RER9xtqwdhxkhw/edit?usp=sharing"",""ฉะเชิงเทรา!M331"")"),0)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5"/>
      <c r="N437" s="169">
        <f ca="1">IFERROR(__xludf.DUMMYFUNCTION("IMPORTRANGE(""https://docs.google.com/spreadsheets/d/1SX6NBoVAgQJ6U1MVXOaj8PK2l7WJ3RER9xtqwdhxkhw/edit?usp=sharing"",""ฉะเชิงเทรา!M332"")"),178120)</f>
        <v>178120</v>
      </c>
      <c r="O437" s="169">
        <f t="shared" ca="1" si="114"/>
        <v>96.804347826086953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IFERROR(__xludf.DUMMYFUNCTION("IMPORTRANGE(""https://docs.google.com/spreadsheets/d/1SX6NBoVAgQJ6U1MVXOaj8PK2l7WJ3RER9xtqwdhxkhw/edit?usp=sharing"",""ฉะเชิงเทรา!L333"")"),0)</f>
        <v>0</v>
      </c>
      <c r="M438" s="169"/>
      <c r="N438" s="169">
        <f ca="1">IFERROR(__xludf.DUMMYFUNCTION("IMPORTRANGE(""https://docs.google.com/spreadsheets/d/1SX6NBoVAgQJ6U1MVXOaj8PK2l7WJ3RER9xtqwdhxkhw/edit?usp=sharing"",""ฉะเชิงเทรา!M333"")"),0)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IFERROR(__xludf.DUMMYFUNCTION("IMPORTRANGE(""https://docs.google.com/spreadsheets/d/1SX6NBoVAgQJ6U1MVXOaj8PK2l7WJ3RER9xtqwdhxkhw/edit?usp=sharing"",""ฉะเชิงเทรา!L334"")"),184000)</f>
        <v>184000</v>
      </c>
      <c r="M439" s="169"/>
      <c r="N439" s="169">
        <f ca="1">IFERROR(__xludf.DUMMYFUNCTION("IMPORTRANGE(""https://docs.google.com/spreadsheets/d/1SX6NBoVAgQJ6U1MVXOaj8PK2l7WJ3RER9xtqwdhxkhw/edit?usp=sharing"",""ฉะเชิงเทรา!M334"")"),178120)</f>
        <v>178120</v>
      </c>
      <c r="O439" s="169">
        <f t="shared" ca="1" si="114"/>
        <v>96.804347826086953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IFERROR(__xludf.DUMMYFUNCTION("IMPORTRANGE(""https://docs.google.com/spreadsheets/d/1SX6NBoVAgQJ6U1MVXOaj8PK2l7WJ3RER9xtqwdhxkhw/edit?usp=sharing"",""ฉะเชิงเทรา!M335"")"),133200)</f>
        <v>133200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IFERROR(__xludf.DUMMYFUNCTION("IMPORTRANGE(""https://docs.google.com/spreadsheets/d/1SX6NBoVAgQJ6U1MVXOaj8PK2l7WJ3RER9xtqwdhxkhw/edit?usp=sharing"",""ฉะเชิงเทรา!M336"")"),0)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IFERROR(__xludf.DUMMYFUNCTION("IMPORTRANGE(""https://docs.google.com/spreadsheets/d/1SX6NBoVAgQJ6U1MVXOaj8PK2l7WJ3RER9xtqwdhxkhw/edit?usp=sharing"",""ฉะเชิงเทรา!M337"")"),0)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IFERROR(__xludf.DUMMYFUNCTION("IMPORTRANGE(""https://docs.google.com/spreadsheets/d/1SX6NBoVAgQJ6U1MVXOaj8PK2l7WJ3RER9xtqwdhxkhw/edit?usp=sharing"",""ฉะเชิงเทรา!M338"")"),44920)</f>
        <v>44920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IFERROR(__xludf.DUMMYFUNCTION("IMPORTRANGE(""https://docs.google.com/spreadsheets/d/1SX6NBoVAgQJ6U1MVXOaj8PK2l7WJ3RER9xtqwdhxkhw/edit?usp=sharing"",""ฉะเชิงเทรา!J340"")"),0)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IFERROR(__xludf.DUMMYFUNCTION("IMPORTRANGE(""https://docs.google.com/spreadsheets/d/1SX6NBoVAgQJ6U1MVXOaj8PK2l7WJ3RER9xtqwdhxkhw/edit?usp=sharing"",""ฉะเชิงเทรา!J341"")"),1)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IFERROR(__xludf.DUMMYFUNCTION("IMPORTRANGE(""https://docs.google.com/spreadsheets/d/1SX6NBoVAgQJ6U1MVXOaj8PK2l7WJ3RER9xtqwdhxkhw/edit?usp=sharing"",""ฉะเชิงเทรา!J342"")"),1)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IFERROR(__xludf.DUMMYFUNCTION("IMPORTRANGE(""https://docs.google.com/spreadsheets/d/1SX6NBoVAgQJ6U1MVXOaj8PK2l7WJ3RER9xtqwdhxkhw/edit?usp=sharing"",""ฉะเชิงเทรา!J343"")"),1)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IFERROR(__xludf.DUMMYFUNCTION("IMPORTRANGE(""https://docs.google.com/spreadsheets/d/1SX6NBoVAgQJ6U1MVXOaj8PK2l7WJ3RER9xtqwdhxkhw/edit?usp=sharing"",""ฉะเชิงเทรา!I344"")"),60)</f>
        <v>60</v>
      </c>
      <c r="J449" s="201">
        <f ca="1">IFERROR(__xludf.DUMMYFUNCTION("IMPORTRANGE(""https://docs.google.com/spreadsheets/d/1SX6NBoVAgQJ6U1MVXOaj8PK2l7WJ3RER9xtqwdhxkhw/edit?usp=sharing"",""ฉะเชิงเทรา!J344"")"),60)</f>
        <v>60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IFERROR(__xludf.DUMMYFUNCTION("IMPORTRANGE(""https://docs.google.com/spreadsheets/d/1SX6NBoVAgQJ6U1MVXOaj8PK2l7WJ3RER9xtqwdhxkhw/edit?usp=sharing"",""ฉะเชิงเทรา!I345"")"),40)</f>
        <v>40</v>
      </c>
      <c r="J450" s="189">
        <f ca="1">IFERROR(__xludf.DUMMYFUNCTION("IMPORTRANGE(""https://docs.google.com/spreadsheets/d/1SX6NBoVAgQJ6U1MVXOaj8PK2l7WJ3RER9xtqwdhxkhw/edit?usp=sharing"",""ฉะเชิงเทรา!J345"")"),40)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IFERROR(__xludf.DUMMYFUNCTION("IMPORTRANGE(""https://docs.google.com/spreadsheets/d/1SX6NBoVAgQJ6U1MVXOaj8PK2l7WJ3RER9xtqwdhxkhw/edit?usp=sharing"",""ฉะเชิงเทรา!I346"")"),20)</f>
        <v>20</v>
      </c>
      <c r="J451" s="188">
        <f ca="1">IFERROR(__xludf.DUMMYFUNCTION("IMPORTRANGE(""https://docs.google.com/spreadsheets/d/1SX6NBoVAgQJ6U1MVXOaj8PK2l7WJ3RER9xtqwdhxkhw/edit?usp=sharing"",""ฉะเชิงเทรา!J346"")"),20)</f>
        <v>20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IFERROR(__xludf.DUMMYFUNCTION("IMPORTRANGE(""https://docs.google.com/spreadsheets/d/1SX6NBoVAgQJ6U1MVXOaj8PK2l7WJ3RER9xtqwdhxkhw/edit?usp=sharing"",""ฉะเชิงเทรา!I347"")"),0)</f>
        <v>0</v>
      </c>
      <c r="J452" s="188">
        <f ca="1">IFERROR(__xludf.DUMMYFUNCTION("IMPORTRANGE(""https://docs.google.com/spreadsheets/d/1SX6NBoVAgQJ6U1MVXOaj8PK2l7WJ3RER9xtqwdhxkhw/edit?usp=sharing"",""ฉะเชิงเทรา!J347"")"),0)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IFERROR(__xludf.DUMMYFUNCTION("IMPORTRANGE(""https://docs.google.com/spreadsheets/d/1SX6NBoVAgQJ6U1MVXOaj8PK2l7WJ3RER9xtqwdhxkhw/edit?usp=sharing"",""ฉะเชิงเทรา!J348"")"),1)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IFERROR(__xludf.DUMMYFUNCTION("IMPORTRANGE(""https://docs.google.com/spreadsheets/d/1SX6NBoVAgQJ6U1MVXOaj8PK2l7WJ3RER9xtqwdhxkhw/edit?usp=sharing"",""ฉะเชิงเทรา!J349"")"),0)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IFERROR(__xludf.DUMMYFUNCTION("IMPORTRANGE(""https://docs.google.com/spreadsheets/d/1SX6NBoVAgQJ6U1MVXOaj8PK2l7WJ3RER9xtqwdhxkhw/edit?usp=sharing"",""ฉะเชิงเทรา!I350"")"),24902)</f>
        <v>24902</v>
      </c>
      <c r="J455" s="371">
        <f ca="1">IFERROR(__xludf.DUMMYFUNCTION("IMPORTRANGE(""https://docs.google.com/spreadsheets/d/1SX6NBoVAgQJ6U1MVXOaj8PK2l7WJ3RER9xtqwdhxkhw/edit?usp=sharing"",""ฉะเชิงเทรา!J350"")"),22632)</f>
        <v>22632</v>
      </c>
      <c r="K455" s="372">
        <f ca="1">IF(I455&gt;0,J455*100/I455,0)</f>
        <v>90.884266323990047</v>
      </c>
      <c r="L455" s="373">
        <f ca="1">IFERROR(__xludf.DUMMYFUNCTION("IMPORTRANGE(""https://docs.google.com/spreadsheets/d/1SX6NBoVAgQJ6U1MVXOaj8PK2l7WJ3RER9xtqwdhxkhw/edit?usp=sharing"",""ฉะเชิงเทรา!L350"")"),381379)</f>
        <v>381379</v>
      </c>
      <c r="M455" s="373"/>
      <c r="N455" s="373">
        <f ca="1">IFERROR(__xludf.DUMMYFUNCTION("IMPORTRANGE(""https://docs.google.com/spreadsheets/d/1SX6NBoVAgQJ6U1MVXOaj8PK2l7WJ3RER9xtqwdhxkhw/edit?usp=sharing"",""ฉะเชิงเทรา!M350"")"),138719)</f>
        <v>138719</v>
      </c>
      <c r="O455" s="373">
        <f t="shared" ref="O455:O459" ca="1" si="116">+IF(L455&gt;0,N455*100/L455,0)</f>
        <v>36.373004281829886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IFERROR(__xludf.DUMMYFUNCTION("IMPORTRANGE(""https://docs.google.com/spreadsheets/d/1SX6NBoVAgQJ6U1MVXOaj8PK2l7WJ3RER9xtqwdhxkhw/edit?usp=sharing"",""ฉะเชิงเทรา!L351"")"),0)</f>
        <v>0</v>
      </c>
      <c r="M456" s="164"/>
      <c r="N456" s="169">
        <f ca="1">IFERROR(__xludf.DUMMYFUNCTION("IMPORTRANGE(""https://docs.google.com/spreadsheets/d/1SX6NBoVAgQJ6U1MVXOaj8PK2l7WJ3RER9xtqwdhxkhw/edit?usp=sharing"",""ฉะเชิงเทรา!M351"")"),0)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IFERROR(__xludf.DUMMYFUNCTION("IMPORTRANGE(""https://docs.google.com/spreadsheets/d/1SX6NBoVAgQJ6U1MVXOaj8PK2l7WJ3RER9xtqwdhxkhw/edit?usp=sharing"",""ฉะเชิงเทรา!L352"")"),381379)</f>
        <v>381379</v>
      </c>
      <c r="M457" s="165"/>
      <c r="N457" s="169">
        <f ca="1">IFERROR(__xludf.DUMMYFUNCTION("IMPORTRANGE(""https://docs.google.com/spreadsheets/d/1SX6NBoVAgQJ6U1MVXOaj8PK2l7WJ3RER9xtqwdhxkhw/edit?usp=sharing"",""ฉะเชิงเทรา!M352"")"),138719)</f>
        <v>138719</v>
      </c>
      <c r="O457" s="169">
        <f t="shared" ca="1" si="116"/>
        <v>36.373004281829886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IFERROR(__xludf.DUMMYFUNCTION("IMPORTRANGE(""https://docs.google.com/spreadsheets/d/1SX6NBoVAgQJ6U1MVXOaj8PK2l7WJ3RER9xtqwdhxkhw/edit?usp=sharing"",""ฉะเชิงเทรา!L353"")"),0)</f>
        <v>0</v>
      </c>
      <c r="M458" s="169"/>
      <c r="N458" s="169">
        <f ca="1">IFERROR(__xludf.DUMMYFUNCTION("IMPORTRANGE(""https://docs.google.com/spreadsheets/d/1SX6NBoVAgQJ6U1MVXOaj8PK2l7WJ3RER9xtqwdhxkhw/edit?usp=sharing"",""ฉะเชิงเทรา!M353"")"),0)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IFERROR(__xludf.DUMMYFUNCTION("IMPORTRANGE(""https://docs.google.com/spreadsheets/d/1SX6NBoVAgQJ6U1MVXOaj8PK2l7WJ3RER9xtqwdhxkhw/edit?usp=sharing"",""ฉะเชิงเทรา!L354"")"),381379)</f>
        <v>381379</v>
      </c>
      <c r="M459" s="169"/>
      <c r="N459" s="169">
        <f ca="1">IFERROR(__xludf.DUMMYFUNCTION("IMPORTRANGE(""https://docs.google.com/spreadsheets/d/1SX6NBoVAgQJ6U1MVXOaj8PK2l7WJ3RER9xtqwdhxkhw/edit?usp=sharing"",""ฉะเชิงเทรา!M354"")"),138719)</f>
        <v>138719</v>
      </c>
      <c r="O459" s="169">
        <f t="shared" ca="1" si="116"/>
        <v>36.373004281829886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IFERROR(__xludf.DUMMYFUNCTION("IMPORTRANGE(""https://docs.google.com/spreadsheets/d/1SX6NBoVAgQJ6U1MVXOaj8PK2l7WJ3RER9xtqwdhxkhw/edit?usp=sharing"",""ฉะเชิงเทรา!M355"")"),0)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IFERROR(__xludf.DUMMYFUNCTION("IMPORTRANGE(""https://docs.google.com/spreadsheets/d/1SX6NBoVAgQJ6U1MVXOaj8PK2l7WJ3RER9xtqwdhxkhw/edit?usp=sharing"",""ฉะเชิงเทรา!M356"")"),0)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IFERROR(__xludf.DUMMYFUNCTION("IMPORTRANGE(""https://docs.google.com/spreadsheets/d/1SX6NBoVAgQJ6U1MVXOaj8PK2l7WJ3RER9xtqwdhxkhw/edit?usp=sharing"",""ฉะเชิงเทรา!M357"")"),0)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IFERROR(__xludf.DUMMYFUNCTION("IMPORTRANGE(""https://docs.google.com/spreadsheets/d/1SX6NBoVAgQJ6U1MVXOaj8PK2l7WJ3RER9xtqwdhxkhw/edit?usp=sharing"",""ฉะเชิงเทรา!M358"")"),138719)</f>
        <v>138719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IFERROR(__xludf.DUMMYFUNCTION("IMPORTRANGE(""https://docs.google.com/spreadsheets/d/1SX6NBoVAgQJ6U1MVXOaj8PK2l7WJ3RER9xtqwdhxkhw/edit?usp=sharing"",""ฉะเชิงเทรา!I359"")"),24902)</f>
        <v>24902</v>
      </c>
      <c r="J464" s="268">
        <f ca="1">IFERROR(__xludf.DUMMYFUNCTION("IMPORTRANGE(""https://docs.google.com/spreadsheets/d/1SX6NBoVAgQJ6U1MVXOaj8PK2l7WJ3RER9xtqwdhxkhw/edit?usp=sharing"",""ฉะเชิงเทรา!J359"")"),22632)</f>
        <v>22632</v>
      </c>
      <c r="K464" s="269">
        <f t="shared" ref="K464:K515" ca="1" si="117">IF(I464&gt;0,J464*100/I464,0)</f>
        <v>90.884266323990047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IFERROR(__xludf.DUMMYFUNCTION("IMPORTRANGE(""https://docs.google.com/spreadsheets/d/1SX6NBoVAgQJ6U1MVXOaj8PK2l7WJ3RER9xtqwdhxkhw/edit?usp=sharing"",""ฉะเชิงเทรา!I360"")"),24902)</f>
        <v>24902</v>
      </c>
      <c r="J465" s="420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2">
        <f t="shared" ca="1" si="117"/>
        <v>99.945849730945312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IFERROR(__xludf.DUMMYFUNCTION("IMPORTRANGE(""https://docs.google.com/spreadsheets/d/1SX6NBoVAgQJ6U1MVXOaj8PK2l7WJ3RER9xtqwdhxkhw/edit?usp=sharing"",""ฉะเชิงเทรา!I361"")"),2367)</f>
        <v>2367</v>
      </c>
      <c r="J466" s="420">
        <f ca="1">IFERROR(__xludf.DUMMYFUNCTION("IMPORTRANGE(""https://docs.google.com/spreadsheets/d/1SX6NBoVAgQJ6U1MVXOaj8PK2l7WJ3RER9xtqwdhxkhw/edit?usp=sharing"",""ฉะเชิงเทรา!J361"")"),2366)</f>
        <v>2366</v>
      </c>
      <c r="K466" s="202">
        <f t="shared" ca="1" si="117"/>
        <v>99.957752429235313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IFERROR(__xludf.DUMMYFUNCTION("IMPORTRANGE(""https://docs.google.com/spreadsheets/d/1SX6NBoVAgQJ6U1MVXOaj8PK2l7WJ3RER9xtqwdhxkhw/edit?usp=sharing"",""ฉะเชิงเทรา!I362"")"),0)</f>
        <v>0</v>
      </c>
      <c r="J467" s="189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IFERROR(__xludf.DUMMYFUNCTION("IMPORTRANGE(""https://docs.google.com/spreadsheets/d/1SX6NBoVAgQJ6U1MVXOaj8PK2l7WJ3RER9xtqwdhxkhw/edit?usp=sharing"",""ฉะเชิงเทรา!I363"")"),0)</f>
        <v>0</v>
      </c>
      <c r="J468" s="189">
        <f ca="1">IFERROR(__xludf.DUMMYFUNCTION("IMPORTRANGE(""https://docs.google.com/spreadsheets/d/1SX6NBoVAgQJ6U1MVXOaj8PK2l7WJ3RER9xtqwdhxkhw/edit?usp=sharing"",""ฉะเชิงเทรา!J363"")"),1818)</f>
        <v>1818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IFERROR(__xludf.DUMMYFUNCTION("IMPORTRANGE(""https://docs.google.com/spreadsheets/d/1SX6NBoVAgQJ6U1MVXOaj8PK2l7WJ3RER9xtqwdhxkhw/edit?usp=sharing"",""ฉะเชิงเทรา!I364"")"),0)</f>
        <v>0</v>
      </c>
      <c r="J469" s="189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IFERROR(__xludf.DUMMYFUNCTION("IMPORTRANGE(""https://docs.google.com/spreadsheets/d/1SX6NBoVAgQJ6U1MVXOaj8PK2l7WJ3RER9xtqwdhxkhw/edit?usp=sharing"",""ฉะเชิงเทรา!I365"")"),0)</f>
        <v>0</v>
      </c>
      <c r="J470" s="189">
        <f ca="1">IFERROR(__xludf.DUMMYFUNCTION("IMPORTRANGE(""https://docs.google.com/spreadsheets/d/1SX6NBoVAgQJ6U1MVXOaj8PK2l7WJ3RER9xtqwdhxkhw/edit?usp=sharing"",""ฉะเชิงเทรา!J365"")"),319)</f>
        <v>319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IFERROR(__xludf.DUMMYFUNCTION("IMPORTRANGE(""https://docs.google.com/spreadsheets/d/1SX6NBoVAgQJ6U1MVXOaj8PK2l7WJ3RER9xtqwdhxkhw/edit?usp=sharing"",""ฉะเชิงเทรา!I366"")"),0)</f>
        <v>0</v>
      </c>
      <c r="J471" s="189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IFERROR(__xludf.DUMMYFUNCTION("IMPORTRANGE(""https://docs.google.com/spreadsheets/d/1SX6NBoVAgQJ6U1MVXOaj8PK2l7WJ3RER9xtqwdhxkhw/edit?usp=sharing"",""ฉะเชิงเทรา!I367"")"),0)</f>
        <v>0</v>
      </c>
      <c r="J472" s="189">
        <f ca="1">IFERROR(__xludf.DUMMYFUNCTION("IMPORTRANGE(""https://docs.google.com/spreadsheets/d/1SX6NBoVAgQJ6U1MVXOaj8PK2l7WJ3RER9xtqwdhxkhw/edit?usp=sharing"",""ฉะเชิงเทรา!J367"")"),229)</f>
        <v>229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IFERROR(__xludf.DUMMYFUNCTION("IMPORTRANGE(""https://docs.google.com/spreadsheets/d/1SX6NBoVAgQJ6U1MVXOaj8PK2l7WJ3RER9xtqwdhxkhw/edit?usp=sharing"",""ฉะเชิงเทรา!I368"")"),24902)</f>
        <v>24902</v>
      </c>
      <c r="J473" s="420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2">
        <f t="shared" ca="1" si="117"/>
        <v>99.945807565656963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IFERROR(__xludf.DUMMYFUNCTION("IMPORTRANGE(""https://docs.google.com/spreadsheets/d/1SX6NBoVAgQJ6U1MVXOaj8PK2l7WJ3RER9xtqwdhxkhw/edit?usp=sharing"",""ฉะเชิงเทรา!I369"")"),2367)</f>
        <v>2367</v>
      </c>
      <c r="J474" s="420">
        <f ca="1">IFERROR(__xludf.DUMMYFUNCTION("IMPORTRANGE(""https://docs.google.com/spreadsheets/d/1SX6NBoVAgQJ6U1MVXOaj8PK2l7WJ3RER9xtqwdhxkhw/edit?usp=sharing"",""ฉะเชิงเทรา!J369"")"),2366)</f>
        <v>2366</v>
      </c>
      <c r="K474" s="163">
        <f t="shared" ca="1" si="117"/>
        <v>99.957752429235313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IFERROR(__xludf.DUMMYFUNCTION("IMPORTRANGE(""https://docs.google.com/spreadsheets/d/1SX6NBoVAgQJ6U1MVXOaj8PK2l7WJ3RER9xtqwdhxkhw/edit?usp=sharing"",""ฉะเชิงเทรา!I370"")"),0)</f>
        <v>0</v>
      </c>
      <c r="J475" s="189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IFERROR(__xludf.DUMMYFUNCTION("IMPORTRANGE(""https://docs.google.com/spreadsheets/d/1SX6NBoVAgQJ6U1MVXOaj8PK2l7WJ3RER9xtqwdhxkhw/edit?usp=sharing"",""ฉะเชิงเทรา!I371"")"),0)</f>
        <v>0</v>
      </c>
      <c r="J476" s="189">
        <f ca="1">IFERROR(__xludf.DUMMYFUNCTION("IMPORTRANGE(""https://docs.google.com/spreadsheets/d/1SX6NBoVAgQJ6U1MVXOaj8PK2l7WJ3RER9xtqwdhxkhw/edit?usp=sharing"",""ฉะเชิงเทรา!J371"")"),1841)</f>
        <v>1841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IFERROR(__xludf.DUMMYFUNCTION("IMPORTRANGE(""https://docs.google.com/spreadsheets/d/1SX6NBoVAgQJ6U1MVXOaj8PK2l7WJ3RER9xtqwdhxkhw/edit?usp=sharing"",""ฉะเชิงเทรา!I372"")"),0)</f>
        <v>0</v>
      </c>
      <c r="J477" s="189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IFERROR(__xludf.DUMMYFUNCTION("IMPORTRANGE(""https://docs.google.com/spreadsheets/d/1SX6NBoVAgQJ6U1MVXOaj8PK2l7WJ3RER9xtqwdhxkhw/edit?usp=sharing"",""ฉะเชิงเทรา!I373"")"),0)</f>
        <v>0</v>
      </c>
      <c r="J478" s="189">
        <f ca="1">IFERROR(__xludf.DUMMYFUNCTION("IMPORTRANGE(""https://docs.google.com/spreadsheets/d/1SX6NBoVAgQJ6U1MVXOaj8PK2l7WJ3RER9xtqwdhxkhw/edit?usp=sharing"",""ฉะเชิงเทรา!J373"")"),294)</f>
        <v>294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IFERROR(__xludf.DUMMYFUNCTION("IMPORTRANGE(""https://docs.google.com/spreadsheets/d/1SX6NBoVAgQJ6U1MVXOaj8PK2l7WJ3RER9xtqwdhxkhw/edit?usp=sharing"",""ฉะเชิงเทรา!I374"")"),0)</f>
        <v>0</v>
      </c>
      <c r="J479" s="189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IFERROR(__xludf.DUMMYFUNCTION("IMPORTRANGE(""https://docs.google.com/spreadsheets/d/1SX6NBoVAgQJ6U1MVXOaj8PK2l7WJ3RER9xtqwdhxkhw/edit?usp=sharing"",""ฉะเชิงเทรา!I375"")"),0)</f>
        <v>0</v>
      </c>
      <c r="J480" s="189">
        <f ca="1">IFERROR(__xludf.DUMMYFUNCTION("IMPORTRANGE(""https://docs.google.com/spreadsheets/d/1SX6NBoVAgQJ6U1MVXOaj8PK2l7WJ3RER9xtqwdhxkhw/edit?usp=sharing"",""ฉะเชิงเทรา!J375"")"),231)</f>
        <v>231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IFERROR(__xludf.DUMMYFUNCTION("IMPORTRANGE(""https://docs.google.com/spreadsheets/d/1SX6NBoVAgQJ6U1MVXOaj8PK2l7WJ3RER9xtqwdhxkhw/edit?usp=sharing"",""ฉะเชิงเทรา!I376"")"),24902)</f>
        <v>24902</v>
      </c>
      <c r="J481" s="420">
        <f ca="1">IFERROR(__xludf.DUMMYFUNCTION("IMPORTRANGE(""https://docs.google.com/spreadsheets/d/1SX6NBoVAgQJ6U1MVXOaj8PK2l7WJ3RER9xtqwdhxkhw/edit?usp=sharing"",""ฉะเชิงเทรา!J376"")"),22632)</f>
        <v>22632</v>
      </c>
      <c r="K481" s="202">
        <f t="shared" ca="1" si="117"/>
        <v>90.884266323990047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IFERROR(__xludf.DUMMYFUNCTION("IMPORTRANGE(""https://docs.google.com/spreadsheets/d/1SX6NBoVAgQJ6U1MVXOaj8PK2l7WJ3RER9xtqwdhxkhw/edit?usp=sharing"",""ฉะเชิงเทรา!I377"")"),2367)</f>
        <v>2367</v>
      </c>
      <c r="J482" s="420">
        <f ca="1">IFERROR(__xludf.DUMMYFUNCTION("IMPORTRANGE(""https://docs.google.com/spreadsheets/d/1SX6NBoVAgQJ6U1MVXOaj8PK2l7WJ3RER9xtqwdhxkhw/edit?usp=sharing"",""ฉะเชิงเทรา!J377"")"),2082)</f>
        <v>2082</v>
      </c>
      <c r="K482" s="163">
        <f t="shared" ca="1" si="117"/>
        <v>87.959442332065905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IFERROR(__xludf.DUMMYFUNCTION("IMPORTRANGE(""https://docs.google.com/spreadsheets/d/1SX6NBoVAgQJ6U1MVXOaj8PK2l7WJ3RER9xtqwdhxkhw/edit?usp=sharing"",""ฉะเชิงเทรา!I378"")"),0)</f>
        <v>0</v>
      </c>
      <c r="J483" s="189">
        <f ca="1">IFERROR(__xludf.DUMMYFUNCTION("IMPORTRANGE(""https://docs.google.com/spreadsheets/d/1SX6NBoVAgQJ6U1MVXOaj8PK2l7WJ3RER9xtqwdhxkhw/edit?usp=sharing"",""ฉะเชิงเทรา!J378"")"),19770)</f>
        <v>19770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IFERROR(__xludf.DUMMYFUNCTION("IMPORTRANGE(""https://docs.google.com/spreadsheets/d/1SX6NBoVAgQJ6U1MVXOaj8PK2l7WJ3RER9xtqwdhxkhw/edit?usp=sharing"",""ฉะเชิงเทรา!I379"")"),0)</f>
        <v>0</v>
      </c>
      <c r="J484" s="189">
        <f ca="1">IFERROR(__xludf.DUMMYFUNCTION("IMPORTRANGE(""https://docs.google.com/spreadsheets/d/1SX6NBoVAgQJ6U1MVXOaj8PK2l7WJ3RER9xtqwdhxkhw/edit?usp=sharing"",""ฉะเชิงเทรา!J379"")"),1841)</f>
        <v>1841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IFERROR(__xludf.DUMMYFUNCTION("IMPORTRANGE(""https://docs.google.com/spreadsheets/d/1SX6NBoVAgQJ6U1MVXOaj8PK2l7WJ3RER9xtqwdhxkhw/edit?usp=sharing"",""ฉะเชิงเทรา!I380"")"),0)</f>
        <v>0</v>
      </c>
      <c r="J485" s="189">
        <f ca="1">IFERROR(__xludf.DUMMYFUNCTION("IMPORTRANGE(""https://docs.google.com/spreadsheets/d/1SX6NBoVAgQJ6U1MVXOaj8PK2l7WJ3RER9xtqwdhxkhw/edit?usp=sharing"",""ฉะเชิงเทรา!J380"")"),0)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IFERROR(__xludf.DUMMYFUNCTION("IMPORTRANGE(""https://docs.google.com/spreadsheets/d/1SX6NBoVAgQJ6U1MVXOaj8PK2l7WJ3RER9xtqwdhxkhw/edit?usp=sharing"",""ฉะเชิงเทรา!I381"")"),0)</f>
        <v>0</v>
      </c>
      <c r="J486" s="189">
        <f ca="1">IFERROR(__xludf.DUMMYFUNCTION("IMPORTRANGE(""https://docs.google.com/spreadsheets/d/1SX6NBoVAgQJ6U1MVXOaj8PK2l7WJ3RER9xtqwdhxkhw/edit?usp=sharing"",""ฉะเชิงเทรา!J381"")"),0)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IFERROR(__xludf.DUMMYFUNCTION("IMPORTRANGE(""https://docs.google.com/spreadsheets/d/1SX6NBoVAgQJ6U1MVXOaj8PK2l7WJ3RER9xtqwdhxkhw/edit?usp=sharing"",""ฉะเชิงเทรา!I382"")"),0)</f>
        <v>0</v>
      </c>
      <c r="J487" s="420">
        <f ca="1">IFERROR(__xludf.DUMMYFUNCTION("IMPORTRANGE(""https://docs.google.com/spreadsheets/d/1SX6NBoVAgQJ6U1MVXOaj8PK2l7WJ3RER9xtqwdhxkhw/edit?usp=sharing"",""ฉะเชิงเทรา!J382"")"),2861)</f>
        <v>2861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IFERROR(__xludf.DUMMYFUNCTION("IMPORTRANGE(""https://docs.google.com/spreadsheets/d/1SX6NBoVAgQJ6U1MVXOaj8PK2l7WJ3RER9xtqwdhxkhw/edit?usp=sharing"",""ฉะเชิงเทรา!I383"")"),0)</f>
        <v>0</v>
      </c>
      <c r="J488" s="420">
        <f ca="1">IFERROR(__xludf.DUMMYFUNCTION("IMPORTRANGE(""https://docs.google.com/spreadsheets/d/1SX6NBoVAgQJ6U1MVXOaj8PK2l7WJ3RER9xtqwdhxkhw/edit?usp=sharing"",""ฉะเชิงเทรา!J383"")"),227)</f>
        <v>227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IFERROR(__xludf.DUMMYFUNCTION("IMPORTRANGE(""https://docs.google.com/spreadsheets/d/1SX6NBoVAgQJ6U1MVXOaj8PK2l7WJ3RER9xtqwdhxkhw/edit?usp=sharing"",""ฉะเชิงเทรา!I384"")"),0)</f>
        <v>0</v>
      </c>
      <c r="J489" s="189">
        <f ca="1">IFERROR(__xludf.DUMMYFUNCTION("IMPORTRANGE(""https://docs.google.com/spreadsheets/d/1SX6NBoVAgQJ6U1MVXOaj8PK2l7WJ3RER9xtqwdhxkhw/edit?usp=sharing"",""ฉะเชิงเทรา!J384"")"),2861)</f>
        <v>2861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IFERROR(__xludf.DUMMYFUNCTION("IMPORTRANGE(""https://docs.google.com/spreadsheets/d/1SX6NBoVAgQJ6U1MVXOaj8PK2l7WJ3RER9xtqwdhxkhw/edit?usp=sharing"",""ฉะเชิงเทรา!I385"")"),0)</f>
        <v>0</v>
      </c>
      <c r="J490" s="189">
        <f ca="1">IFERROR(__xludf.DUMMYFUNCTION("IMPORTRANGE(""https://docs.google.com/spreadsheets/d/1SX6NBoVAgQJ6U1MVXOaj8PK2l7WJ3RER9xtqwdhxkhw/edit?usp=sharing"",""ฉะเชิงเทรา!J385"")"),227)</f>
        <v>227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IFERROR(__xludf.DUMMYFUNCTION("IMPORTRANGE(""https://docs.google.com/spreadsheets/d/1SX6NBoVAgQJ6U1MVXOaj8PK2l7WJ3RER9xtqwdhxkhw/edit?usp=sharing"",""ฉะเชิงเทรา!I386"")"),0)</f>
        <v>0</v>
      </c>
      <c r="J491" s="189">
        <f ca="1">IFERROR(__xludf.DUMMYFUNCTION("IMPORTRANGE(""https://docs.google.com/spreadsheets/d/1SX6NBoVAgQJ6U1MVXOaj8PK2l7WJ3RER9xtqwdhxkhw/edit?usp=sharing"",""ฉะเชิงเทรา!J386"")"),0)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IFERROR(__xludf.DUMMYFUNCTION("IMPORTRANGE(""https://docs.google.com/spreadsheets/d/1SX6NBoVAgQJ6U1MVXOaj8PK2l7WJ3RER9xtqwdhxkhw/edit?usp=sharing"",""ฉะเชิงเทรา!I387"")"),0)</f>
        <v>0</v>
      </c>
      <c r="J492" s="189">
        <f ca="1">IFERROR(__xludf.DUMMYFUNCTION("IMPORTRANGE(""https://docs.google.com/spreadsheets/d/1SX6NBoVAgQJ6U1MVXOaj8PK2l7WJ3RER9xtqwdhxkhw/edit?usp=sharing"",""ฉะเชิงเทรา!J387"")"),0)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IFERROR(__xludf.DUMMYFUNCTION("IMPORTRANGE(""https://docs.google.com/spreadsheets/d/1SX6NBoVAgQJ6U1MVXOaj8PK2l7WJ3RER9xtqwdhxkhw/edit?usp=sharing"",""ฉะเชิงเทรา!I388"")"),0)</f>
        <v>0</v>
      </c>
      <c r="J493" s="189">
        <f ca="1">IFERROR(__xludf.DUMMYFUNCTION("IMPORTRANGE(""https://docs.google.com/spreadsheets/d/1SX6NBoVAgQJ6U1MVXOaj8PK2l7WJ3RER9xtqwdhxkhw/edit?usp=sharing"",""ฉะเชิงเทรา!J388"")"),0)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IFERROR(__xludf.DUMMYFUNCTION("IMPORTRANGE(""https://docs.google.com/spreadsheets/d/1SX6NBoVAgQJ6U1MVXOaj8PK2l7WJ3RER9xtqwdhxkhw/edit?usp=sharing"",""ฉะเชิงเทรา!I389"")"),0)</f>
        <v>0</v>
      </c>
      <c r="J494" s="436">
        <f ca="1">IFERROR(__xludf.DUMMYFUNCTION("IMPORTRANGE(""https://docs.google.com/spreadsheets/d/1SX6NBoVAgQJ6U1MVXOaj8PK2l7WJ3RER9xtqwdhxkhw/edit?usp=sharing"",""ฉะเชิงเทรา!J389"")"),0)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IFERROR(__xludf.DUMMYFUNCTION("IMPORTRANGE(""https://docs.google.com/spreadsheets/d/1SX6NBoVAgQJ6U1MVXOaj8PK2l7WJ3RER9xtqwdhxkhw/edit?usp=sharing"",""ฉะเชิงเทรา!I390"")"),0)</f>
        <v>0</v>
      </c>
      <c r="J495" s="436">
        <f ca="1">IFERROR(__xludf.DUMMYFUNCTION("IMPORTRANGE(""https://docs.google.com/spreadsheets/d/1SX6NBoVAgQJ6U1MVXOaj8PK2l7WJ3RER9xtqwdhxkhw/edit?usp=sharing"",""ฉะเชิงเทรา!J390"")"),1)</f>
        <v>1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IFERROR(__xludf.DUMMYFUNCTION("IMPORTRANGE(""https://docs.google.com/spreadsheets/d/1SX6NBoVAgQJ6U1MVXOaj8PK2l7WJ3RER9xtqwdhxkhw/edit?usp=sharing"",""ฉะเชิงเทรา!I391"")"),0)</f>
        <v>0</v>
      </c>
      <c r="J496" s="436">
        <f ca="1">IFERROR(__xludf.DUMMYFUNCTION("IMPORTRANGE(""https://docs.google.com/spreadsheets/d/1SX6NBoVAgQJ6U1MVXOaj8PK2l7WJ3RER9xtqwdhxkhw/edit?usp=sharing"",""ฉะเชิงเทรา!J391"")"),14)</f>
        <v>14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IFERROR(__xludf.DUMMYFUNCTION("IMPORTRANGE(""https://docs.google.com/spreadsheets/d/1SX6NBoVAgQJ6U1MVXOaj8PK2l7WJ3RER9xtqwdhxkhw/edit?usp=sharing"",""ฉะเชิงเทรา!I392"")"),1801)</f>
        <v>1801</v>
      </c>
      <c r="J497" s="443">
        <f ca="1">IFERROR(__xludf.DUMMYFUNCTION("IMPORTRANGE(""https://docs.google.com/spreadsheets/d/1SX6NBoVAgQJ6U1MVXOaj8PK2l7WJ3RER9xtqwdhxkhw/edit?usp=sharing"",""ฉะเชิงเทรา!J392"")"),1712)</f>
        <v>1712</v>
      </c>
      <c r="K497" s="444">
        <f t="shared" ca="1" si="117"/>
        <v>95.058300943920045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IFERROR(__xludf.DUMMYFUNCTION("IMPORTRANGE(""https://docs.google.com/spreadsheets/d/1SX6NBoVAgQJ6U1MVXOaj8PK2l7WJ3RER9xtqwdhxkhw/edit?usp=sharing"",""ฉะเชิงเทรา!I393"")"),1801)</f>
        <v>1801</v>
      </c>
      <c r="J498" s="420">
        <f ca="1">IFERROR(__xludf.DUMMYFUNCTION("IMPORTRANGE(""https://docs.google.com/spreadsheets/d/1SX6NBoVAgQJ6U1MVXOaj8PK2l7WJ3RER9xtqwdhxkhw/edit?usp=sharing"",""ฉะเชิงเทรา!J393"")"),1712)</f>
        <v>1712</v>
      </c>
      <c r="K498" s="163">
        <f t="shared" ca="1" si="117"/>
        <v>95.058300943920045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IFERROR(__xludf.DUMMYFUNCTION("IMPORTRANGE(""https://docs.google.com/spreadsheets/d/1SX6NBoVAgQJ6U1MVXOaj8PK2l7WJ3RER9xtqwdhxkhw/edit?usp=sharing"",""ฉะเชิงเทรา!I394"")"),160)</f>
        <v>160</v>
      </c>
      <c r="J499" s="420">
        <f ca="1">IFERROR(__xludf.DUMMYFUNCTION("IMPORTRANGE(""https://docs.google.com/spreadsheets/d/1SX6NBoVAgQJ6U1MVXOaj8PK2l7WJ3RER9xtqwdhxkhw/edit?usp=sharing"",""ฉะเชิงเทรา!J394"")"),153)</f>
        <v>153</v>
      </c>
      <c r="K499" s="202">
        <f t="shared" ca="1" si="117"/>
        <v>95.625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IFERROR(__xludf.DUMMYFUNCTION("IMPORTRANGE(""https://docs.google.com/spreadsheets/d/1SX6NBoVAgQJ6U1MVXOaj8PK2l7WJ3RER9xtqwdhxkhw/edit?usp=sharing"",""ฉะเชิงเทรา!I395"")"),0)</f>
        <v>0</v>
      </c>
      <c r="J500" s="162">
        <f ca="1">IFERROR(__xludf.DUMMYFUNCTION("IMPORTRANGE(""https://docs.google.com/spreadsheets/d/1SX6NBoVAgQJ6U1MVXOaj8PK2l7WJ3RER9xtqwdhxkhw/edit?usp=sharing"",""ฉะเชิงเทรา!J395"")"),1712)</f>
        <v>1712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IFERROR(__xludf.DUMMYFUNCTION("IMPORTRANGE(""https://docs.google.com/spreadsheets/d/1SX6NBoVAgQJ6U1MVXOaj8PK2l7WJ3RER9xtqwdhxkhw/edit?usp=sharing"",""ฉะเชิงเทรา!I396"")"),0)</f>
        <v>0</v>
      </c>
      <c r="J501" s="162">
        <f ca="1">IFERROR(__xludf.DUMMYFUNCTION("IMPORTRANGE(""https://docs.google.com/spreadsheets/d/1SX6NBoVAgQJ6U1MVXOaj8PK2l7WJ3RER9xtqwdhxkhw/edit?usp=sharing"",""ฉะเชิงเทรา!J396"")"),153)</f>
        <v>153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IFERROR(__xludf.DUMMYFUNCTION("IMPORTRANGE(""https://docs.google.com/spreadsheets/d/1SX6NBoVAgQJ6U1MVXOaj8PK2l7WJ3RER9xtqwdhxkhw/edit?usp=sharing"",""ฉะเชิงเทรา!I397"")"),0)</f>
        <v>0</v>
      </c>
      <c r="J502" s="189">
        <f ca="1">IFERROR(__xludf.DUMMYFUNCTION("IMPORTRANGE(""https://docs.google.com/spreadsheets/d/1SX6NBoVAgQJ6U1MVXOaj8PK2l7WJ3RER9xtqwdhxkhw/edit?usp=sharing"",""ฉะเชิงเทรา!J397"")"),1637)</f>
        <v>1637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IFERROR(__xludf.DUMMYFUNCTION("IMPORTRANGE(""https://docs.google.com/spreadsheets/d/1SX6NBoVAgQJ6U1MVXOaj8PK2l7WJ3RER9xtqwdhxkhw/edit?usp=sharing"",""ฉะเชิงเทรา!I398"")"),0)</f>
        <v>0</v>
      </c>
      <c r="J503" s="198">
        <f ca="1">IFERROR(__xludf.DUMMYFUNCTION("IMPORTRANGE(""https://docs.google.com/spreadsheets/d/1SX6NBoVAgQJ6U1MVXOaj8PK2l7WJ3RER9xtqwdhxkhw/edit?usp=sharing"",""ฉะเชิงเทรา!J398"")"),142)</f>
        <v>142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IFERROR(__xludf.DUMMYFUNCTION("IMPORTRANGE(""https://docs.google.com/spreadsheets/d/1SX6NBoVAgQJ6U1MVXOaj8PK2l7WJ3RER9xtqwdhxkhw/edit?usp=sharing"",""ฉะเชิงเทรา!I399"")"),0)</f>
        <v>0</v>
      </c>
      <c r="J504" s="189">
        <f ca="1">IFERROR(__xludf.DUMMYFUNCTION("IMPORTRANGE(""https://docs.google.com/spreadsheets/d/1SX6NBoVAgQJ6U1MVXOaj8PK2l7WJ3RER9xtqwdhxkhw/edit?usp=sharing"",""ฉะเชิงเทรา!J399"")"),75)</f>
        <v>75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IFERROR(__xludf.DUMMYFUNCTION("IMPORTRANGE(""https://docs.google.com/spreadsheets/d/1SX6NBoVAgQJ6U1MVXOaj8PK2l7WJ3RER9xtqwdhxkhw/edit?usp=sharing"",""ฉะเชิงเทรา!I400"")"),0)</f>
        <v>0</v>
      </c>
      <c r="J505" s="198">
        <f ca="1">IFERROR(__xludf.DUMMYFUNCTION("IMPORTRANGE(""https://docs.google.com/spreadsheets/d/1SX6NBoVAgQJ6U1MVXOaj8PK2l7WJ3RER9xtqwdhxkhw/edit?usp=sharing"",""ฉะเชิงเทรา!J400"")"),11)</f>
        <v>11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IFERROR(__xludf.DUMMYFUNCTION("IMPORTRANGE(""https://docs.google.com/spreadsheets/d/1SX6NBoVAgQJ6U1MVXOaj8PK2l7WJ3RER9xtqwdhxkhw/edit?usp=sharing"",""ฉะเชิงเทรา!I401"")"),0)</f>
        <v>0</v>
      </c>
      <c r="J506" s="189">
        <f ca="1">IFERROR(__xludf.DUMMYFUNCTION("IMPORTRANGE(""https://docs.google.com/spreadsheets/d/1SX6NBoVAgQJ6U1MVXOaj8PK2l7WJ3RER9xtqwdhxkhw/edit?usp=sharing"",""ฉะเชิงเทรา!J401"")"),0)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IFERROR(__xludf.DUMMYFUNCTION("IMPORTRANGE(""https://docs.google.com/spreadsheets/d/1SX6NBoVAgQJ6U1MVXOaj8PK2l7WJ3RER9xtqwdhxkhw/edit?usp=sharing"",""ฉะเชิงเทรา!I402"")"),0)</f>
        <v>0</v>
      </c>
      <c r="J507" s="198">
        <f ca="1">IFERROR(__xludf.DUMMYFUNCTION("IMPORTRANGE(""https://docs.google.com/spreadsheets/d/1SX6NBoVAgQJ6U1MVXOaj8PK2l7WJ3RER9xtqwdhxkhw/edit?usp=sharing"",""ฉะเชิงเทรา!J402"")"),0)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IFERROR(__xludf.DUMMYFUNCTION("IMPORTRANGE(""https://docs.google.com/spreadsheets/d/1SX6NBoVAgQJ6U1MVXOaj8PK2l7WJ3RER9xtqwdhxkhw/edit?usp=sharing"",""ฉะเชิงเทรา!I403"")"),0)</f>
        <v>0</v>
      </c>
      <c r="J508" s="162">
        <f ca="1">IFERROR(__xludf.DUMMYFUNCTION("IMPORTRANGE(""https://docs.google.com/spreadsheets/d/1SX6NBoVAgQJ6U1MVXOaj8PK2l7WJ3RER9xtqwdhxkhw/edit?usp=sharing"",""ฉะเชิงเทรา!J403"")"),0)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IFERROR(__xludf.DUMMYFUNCTION("IMPORTRANGE(""https://docs.google.com/spreadsheets/d/1SX6NBoVAgQJ6U1MVXOaj8PK2l7WJ3RER9xtqwdhxkhw/edit?usp=sharing"",""ฉะเชิงเทรา!I404"")"),0)</f>
        <v>0</v>
      </c>
      <c r="J509" s="162">
        <f ca="1">IFERROR(__xludf.DUMMYFUNCTION("IMPORTRANGE(""https://docs.google.com/spreadsheets/d/1SX6NBoVAgQJ6U1MVXOaj8PK2l7WJ3RER9xtqwdhxkhw/edit?usp=sharing"",""ฉะเชิงเทรา!J404"")"),0)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IFERROR(__xludf.DUMMYFUNCTION("IMPORTRANGE(""https://docs.google.com/spreadsheets/d/1SX6NBoVAgQJ6U1MVXOaj8PK2l7WJ3RER9xtqwdhxkhw/edit?usp=sharing"",""ฉะเชิงเทรา!I405"")"),0)</f>
        <v>0</v>
      </c>
      <c r="J510" s="198">
        <f ca="1">IFERROR(__xludf.DUMMYFUNCTION("IMPORTRANGE(""https://docs.google.com/spreadsheets/d/1SX6NBoVAgQJ6U1MVXOaj8PK2l7WJ3RER9xtqwdhxkhw/edit?usp=sharing"",""ฉะเชิงเทรา!J405"")"),0)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IFERROR(__xludf.DUMMYFUNCTION("IMPORTRANGE(""https://docs.google.com/spreadsheets/d/1SX6NBoVAgQJ6U1MVXOaj8PK2l7WJ3RER9xtqwdhxkhw/edit?usp=sharing"",""ฉะเชิงเทรา!I406"")"),0)</f>
        <v>0</v>
      </c>
      <c r="J511" s="198">
        <f ca="1">IFERROR(__xludf.DUMMYFUNCTION("IMPORTRANGE(""https://docs.google.com/spreadsheets/d/1SX6NBoVAgQJ6U1MVXOaj8PK2l7WJ3RER9xtqwdhxkhw/edit?usp=sharing"",""ฉะเชิงเทรา!J406"")"),0)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IFERROR(__xludf.DUMMYFUNCTION("IMPORTRANGE(""https://docs.google.com/spreadsheets/d/1SX6NBoVAgQJ6U1MVXOaj8PK2l7WJ3RER9xtqwdhxkhw/edit?usp=sharing"",""ฉะเชิงเทรา!I407"")"),0)</f>
        <v>0</v>
      </c>
      <c r="J512" s="198">
        <f ca="1">IFERROR(__xludf.DUMMYFUNCTION("IMPORTRANGE(""https://docs.google.com/spreadsheets/d/1SX6NBoVAgQJ6U1MVXOaj8PK2l7WJ3RER9xtqwdhxkhw/edit?usp=sharing"",""ฉะเชิงเทรา!J407"")"),0)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IFERROR(__xludf.DUMMYFUNCTION("IMPORTRANGE(""https://docs.google.com/spreadsheets/d/1SX6NBoVAgQJ6U1MVXOaj8PK2l7WJ3RER9xtqwdhxkhw/edit?usp=sharing"",""ฉะเชิงเทรา!I408"")"),0)</f>
        <v>0</v>
      </c>
      <c r="J513" s="198">
        <f ca="1">IFERROR(__xludf.DUMMYFUNCTION("IMPORTRANGE(""https://docs.google.com/spreadsheets/d/1SX6NBoVAgQJ6U1MVXOaj8PK2l7WJ3RER9xtqwdhxkhw/edit?usp=sharing"",""ฉะเชิงเทรา!J408"")"),0)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IFERROR(__xludf.DUMMYFUNCTION("IMPORTRANGE(""https://docs.google.com/spreadsheets/d/1SX6NBoVAgQJ6U1MVXOaj8PK2l7WJ3RER9xtqwdhxkhw/edit?usp=sharing"",""ฉะเชิงเทรา!I409"")"),0)</f>
        <v>0</v>
      </c>
      <c r="J514" s="198">
        <f ca="1">IFERROR(__xludf.DUMMYFUNCTION("IMPORTRANGE(""https://docs.google.com/spreadsheets/d/1SX6NBoVAgQJ6U1MVXOaj8PK2l7WJ3RER9xtqwdhxkhw/edit?usp=sharing"",""ฉะเชิงเทรา!J409"")"),0)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IFERROR(__xludf.DUMMYFUNCTION("IMPORTRANGE(""https://docs.google.com/spreadsheets/d/1SX6NBoVAgQJ6U1MVXOaj8PK2l7WJ3RER9xtqwdhxkhw/edit?usp=sharing"",""ฉะเชิงเทรา!I410"")"),0)</f>
        <v>0</v>
      </c>
      <c r="J515" s="198">
        <f ca="1">IFERROR(__xludf.DUMMYFUNCTION("IMPORTRANGE(""https://docs.google.com/spreadsheets/d/1SX6NBoVAgQJ6U1MVXOaj8PK2l7WJ3RER9xtqwdhxkhw/edit?usp=sharing"",""ฉะเชิงเทรา!J410"")"),0)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IFERROR(__xludf.DUMMYFUNCTION("IMPORTRANGE(""https://docs.google.com/spreadsheets/d/1SX6NBoVAgQJ6U1MVXOaj8PK2l7WJ3RER9xtqwdhxkhw/edit?usp=sharing"",""ฉะเชิงเทรา!I411"")"),0)</f>
        <v>0</v>
      </c>
      <c r="J516" s="268">
        <f ca="1">IFERROR(__xludf.DUMMYFUNCTION("IMPORTRANGE(""https://docs.google.com/spreadsheets/d/1SX6NBoVAgQJ6U1MVXOaj8PK2l7WJ3RER9xtqwdhxkhw/edit?usp=sharing"",""ฉะเชิงเทรา!J411"")"),0)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IFERROR(__xludf.DUMMYFUNCTION("IMPORTRANGE(""https://docs.google.com/spreadsheets/d/1SX6NBoVAgQJ6U1MVXOaj8PK2l7WJ3RER9xtqwdhxkhw/edit?usp=sharing"",""ฉะเชิงเทรา!I412"")"),0)</f>
        <v>0</v>
      </c>
      <c r="J517" s="285">
        <f ca="1">IFERROR(__xludf.DUMMYFUNCTION("IMPORTRANGE(""https://docs.google.com/spreadsheets/d/1SX6NBoVAgQJ6U1MVXOaj8PK2l7WJ3RER9xtqwdhxkhw/edit?usp=sharing"",""ฉะเชิงเทรา!J412"")"),0)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IFERROR(__xludf.DUMMYFUNCTION("IMPORTRANGE(""https://docs.google.com/spreadsheets/d/1SX6NBoVAgQJ6U1MVXOaj8PK2l7WJ3RER9xtqwdhxkhw/edit?usp=sharing"",""ฉะเชิงเทรา!I413"")"),0)</f>
        <v>0</v>
      </c>
      <c r="J518" s="285">
        <f ca="1">IFERROR(__xludf.DUMMYFUNCTION("IMPORTRANGE(""https://docs.google.com/spreadsheets/d/1SX6NBoVAgQJ6U1MVXOaj8PK2l7WJ3RER9xtqwdhxkhw/edit?usp=sharing"",""ฉะเชิงเทรา!J413"")"),0)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IFERROR(__xludf.DUMMYFUNCTION("IMPORTRANGE(""https://docs.google.com/spreadsheets/d/1SX6NBoVAgQJ6U1MVXOaj8PK2l7WJ3RER9xtqwdhxkhw/edit?usp=sharing"",""ฉะเชิงเทรา!I414"")"),0)</f>
        <v>0</v>
      </c>
      <c r="J519" s="188">
        <f ca="1">IFERROR(__xludf.DUMMYFUNCTION("IMPORTRANGE(""https://docs.google.com/spreadsheets/d/1SX6NBoVAgQJ6U1MVXOaj8PK2l7WJ3RER9xtqwdhxkhw/edit?usp=sharing"",""ฉะเชิงเทรา!J414"")"),0)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IFERROR(__xludf.DUMMYFUNCTION("IMPORTRANGE(""https://docs.google.com/spreadsheets/d/1SX6NBoVAgQJ6U1MVXOaj8PK2l7WJ3RER9xtqwdhxkhw/edit?usp=sharing"",""ฉะเชิงเทรา!I415"")"),0)</f>
        <v>0</v>
      </c>
      <c r="J520" s="188">
        <f ca="1">IFERROR(__xludf.DUMMYFUNCTION("IMPORTRANGE(""https://docs.google.com/spreadsheets/d/1SX6NBoVAgQJ6U1MVXOaj8PK2l7WJ3RER9xtqwdhxkhw/edit?usp=sharing"",""ฉะเชิงเทรา!J415"")"),0)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IFERROR(__xludf.DUMMYFUNCTION("IMPORTRANGE(""https://docs.google.com/spreadsheets/d/1SX6NBoVAgQJ6U1MVXOaj8PK2l7WJ3RER9xtqwdhxkhw/edit?usp=sharing"",""ฉะเชิงเทรา!I416"")"),0)</f>
        <v>0</v>
      </c>
      <c r="J521" s="188">
        <f ca="1">IFERROR(__xludf.DUMMYFUNCTION("IMPORTRANGE(""https://docs.google.com/spreadsheets/d/1SX6NBoVAgQJ6U1MVXOaj8PK2l7WJ3RER9xtqwdhxkhw/edit?usp=sharing"",""ฉะเชิงเทรา!J416"")"),0)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IFERROR(__xludf.DUMMYFUNCTION("IMPORTRANGE(""https://docs.google.com/spreadsheets/d/1SX6NBoVAgQJ6U1MVXOaj8PK2l7WJ3RER9xtqwdhxkhw/edit?usp=sharing"",""ฉะเชิงเทรา!I417"")"),0)</f>
        <v>0</v>
      </c>
      <c r="J522" s="188">
        <f ca="1">IFERROR(__xludf.DUMMYFUNCTION("IMPORTRANGE(""https://docs.google.com/spreadsheets/d/1SX6NBoVAgQJ6U1MVXOaj8PK2l7WJ3RER9xtqwdhxkhw/edit?usp=sharing"",""ฉะเชิงเทรา!J417"")"),0)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IFERROR(__xludf.DUMMYFUNCTION("IMPORTRANGE(""https://docs.google.com/spreadsheets/d/1SX6NBoVAgQJ6U1MVXOaj8PK2l7WJ3RER9xtqwdhxkhw/edit?usp=sharing"",""ฉะเชิงเทรา!I418"")"),0)</f>
        <v>0</v>
      </c>
      <c r="J523" s="188">
        <f ca="1">IFERROR(__xludf.DUMMYFUNCTION("IMPORTRANGE(""https://docs.google.com/spreadsheets/d/1SX6NBoVAgQJ6U1MVXOaj8PK2l7WJ3RER9xtqwdhxkhw/edit?usp=sharing"",""ฉะเชิงเทรา!J418"")"),9)</f>
        <v>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IFERROR(__xludf.DUMMYFUNCTION("IMPORTRANGE(""https://docs.google.com/spreadsheets/d/1SX6NBoVAgQJ6U1MVXOaj8PK2l7WJ3RER9xtqwdhxkhw/edit?usp=sharing"",""ฉะเชิงเทรา!I419"")"),0)</f>
        <v>0</v>
      </c>
      <c r="J524" s="188">
        <f ca="1">IFERROR(__xludf.DUMMYFUNCTION("IMPORTRANGE(""https://docs.google.com/spreadsheets/d/1SX6NBoVAgQJ6U1MVXOaj8PK2l7WJ3RER9xtqwdhxkhw/edit?usp=sharing"",""ฉะเชิงเทรา!J419"")"),2)</f>
        <v>2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IFERROR(__xludf.DUMMYFUNCTION("IMPORTRANGE(""https://docs.google.com/spreadsheets/d/1SX6NBoVAgQJ6U1MVXOaj8PK2l7WJ3RER9xtqwdhxkhw/edit?usp=sharing"",""ฉะเชิงเทรา!I420"")"),9)</f>
        <v>9</v>
      </c>
      <c r="J525" s="285">
        <f ca="1">IFERROR(__xludf.DUMMYFUNCTION("IMPORTRANGE(""https://docs.google.com/spreadsheets/d/1SX6NBoVAgQJ6U1MVXOaj8PK2l7WJ3RER9xtqwdhxkhw/edit?usp=sharing"",""ฉะเชิงเทรา!J420"")"),0)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IFERROR(__xludf.DUMMYFUNCTION("IMPORTRANGE(""https://docs.google.com/spreadsheets/d/1SX6NBoVAgQJ6U1MVXOaj8PK2l7WJ3RER9xtqwdhxkhw/edit?usp=sharing"",""ฉะเชิงเทรา!I421"")"),2)</f>
        <v>2</v>
      </c>
      <c r="J526" s="285">
        <f ca="1">IFERROR(__xludf.DUMMYFUNCTION("IMPORTRANGE(""https://docs.google.com/spreadsheets/d/1SX6NBoVAgQJ6U1MVXOaj8PK2l7WJ3RER9xtqwdhxkhw/edit?usp=sharing"",""ฉะเชิงเทรา!J421"")"),0)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IFERROR(__xludf.DUMMYFUNCTION("IMPORTRANGE(""https://docs.google.com/spreadsheets/d/1SX6NBoVAgQJ6U1MVXOaj8PK2l7WJ3RER9xtqwdhxkhw/edit?usp=sharing"",""ฉะเชิงเทรา!I422"")"),0)</f>
        <v>0</v>
      </c>
      <c r="J527" s="198">
        <f ca="1">IFERROR(__xludf.DUMMYFUNCTION("IMPORTRANGE(""https://docs.google.com/spreadsheets/d/1SX6NBoVAgQJ6U1MVXOaj8PK2l7WJ3RER9xtqwdhxkhw/edit?usp=sharing"",""ฉะเชิงเทรา!J422"")"),0)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IFERROR(__xludf.DUMMYFUNCTION("IMPORTRANGE(""https://docs.google.com/spreadsheets/d/1SX6NBoVAgQJ6U1MVXOaj8PK2l7WJ3RER9xtqwdhxkhw/edit?usp=sharing"",""ฉะเชิงเทรา!I423"")"),0)</f>
        <v>0</v>
      </c>
      <c r="J528" s="198">
        <f ca="1">IFERROR(__xludf.DUMMYFUNCTION("IMPORTRANGE(""https://docs.google.com/spreadsheets/d/1SX6NBoVAgQJ6U1MVXOaj8PK2l7WJ3RER9xtqwdhxkhw/edit?usp=sharing"",""ฉะเชิงเทรา!J423"")"),0)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IFERROR(__xludf.DUMMYFUNCTION("IMPORTRANGE(""https://docs.google.com/spreadsheets/d/1SX6NBoVAgQJ6U1MVXOaj8PK2l7WJ3RER9xtqwdhxkhw/edit?usp=sharing"",""ฉะเชิงเทรา!I424"")"),0)</f>
        <v>0</v>
      </c>
      <c r="J529" s="198">
        <f ca="1">IFERROR(__xludf.DUMMYFUNCTION("IMPORTRANGE(""https://docs.google.com/spreadsheets/d/1SX6NBoVAgQJ6U1MVXOaj8PK2l7WJ3RER9xtqwdhxkhw/edit?usp=sharing"",""ฉะเชิงเทรา!J424"")"),0)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IFERROR(__xludf.DUMMYFUNCTION("IMPORTRANGE(""https://docs.google.com/spreadsheets/d/1SX6NBoVAgQJ6U1MVXOaj8PK2l7WJ3RER9xtqwdhxkhw/edit?usp=sharing"",""ฉะเชิงเทรา!I425"")"),0)</f>
        <v>0</v>
      </c>
      <c r="J530" s="198">
        <f ca="1">IFERROR(__xludf.DUMMYFUNCTION("IMPORTRANGE(""https://docs.google.com/spreadsheets/d/1SX6NBoVAgQJ6U1MVXOaj8PK2l7WJ3RER9xtqwdhxkhw/edit?usp=sharing"",""ฉะเชิงเทรา!J425"")"),0)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IFERROR(__xludf.DUMMYFUNCTION("IMPORTRANGE(""https://docs.google.com/spreadsheets/d/1SX6NBoVAgQJ6U1MVXOaj8PK2l7WJ3RER9xtqwdhxkhw/edit?usp=sharing"",""ฉะเชิงเทรา!I426"")"),0)</f>
        <v>0</v>
      </c>
      <c r="J531" s="198">
        <f ca="1">IFERROR(__xludf.DUMMYFUNCTION("IMPORTRANGE(""https://docs.google.com/spreadsheets/d/1SX6NBoVAgQJ6U1MVXOaj8PK2l7WJ3RER9xtqwdhxkhw/edit?usp=sharing"",""ฉะเชิงเทรา!J426"")"),0)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IFERROR(__xludf.DUMMYFUNCTION("IMPORTRANGE(""https://docs.google.com/spreadsheets/d/1SX6NBoVAgQJ6U1MVXOaj8PK2l7WJ3RER9xtqwdhxkhw/edit?usp=sharing"",""ฉะเชิงเทรา!I427"")"),0)</f>
        <v>0</v>
      </c>
      <c r="J532" s="466">
        <f ca="1">IFERROR(__xludf.DUMMYFUNCTION("IMPORTRANGE(""https://docs.google.com/spreadsheets/d/1SX6NBoVAgQJ6U1MVXOaj8PK2l7WJ3RER9xtqwdhxkhw/edit?usp=sharing"",""ฉะเชิงเทรา!J427"")"),0)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IFERROR(__xludf.DUMMYFUNCTION("IMPORTRANGE(""https://docs.google.com/spreadsheets/d/1SX6NBoVAgQJ6U1MVXOaj8PK2l7WJ3RER9xtqwdhxkhw/edit?usp=sharing"",""ฉะเชิงเทรา!I428"")"),22)</f>
        <v>22</v>
      </c>
      <c r="J533" s="410">
        <f ca="1">IFERROR(__xludf.DUMMYFUNCTION("IMPORTRANGE(""https://docs.google.com/spreadsheets/d/1SX6NBoVAgQJ6U1MVXOaj8PK2l7WJ3RER9xtqwdhxkhw/edit?usp=sharing"",""ฉะเชิงเทรา!J428"")"),22)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IFERROR(__xludf.DUMMYFUNCTION("IMPORTRANGE(""https://docs.google.com/spreadsheets/d/1SX6NBoVAgQJ6U1MVXOaj8PK2l7WJ3RER9xtqwdhxkhw/edit?usp=sharing"",""ฉะเชิงเทรา!L428"")"),34340)</f>
        <v>34340</v>
      </c>
      <c r="M533" s="412"/>
      <c r="N533" s="412">
        <f ca="1">IFERROR(__xludf.DUMMYFUNCTION("IMPORTRANGE(""https://docs.google.com/spreadsheets/d/1SX6NBoVAgQJ6U1MVXOaj8PK2l7WJ3RER9xtqwdhxkhw/edit?usp=sharing"",""ฉะเชิงเทรา!M428"")"),34340)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IFERROR(__xludf.DUMMYFUNCTION("IMPORTRANGE(""https://docs.google.com/spreadsheets/d/1SX6NBoVAgQJ6U1MVXOaj8PK2l7WJ3RER9xtqwdhxkhw/edit?usp=sharing"",""ฉะเชิงเทรา!L429"")"),0)</f>
        <v>0</v>
      </c>
      <c r="M534" s="164"/>
      <c r="N534" s="169">
        <f ca="1">IFERROR(__xludf.DUMMYFUNCTION("IMPORTRANGE(""https://docs.google.com/spreadsheets/d/1SX6NBoVAgQJ6U1MVXOaj8PK2l7WJ3RER9xtqwdhxkhw/edit?usp=sharing"",""ฉะเชิงเทรา!M429"")"),0)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IFERROR(__xludf.DUMMYFUNCTION("IMPORTRANGE(""https://docs.google.com/spreadsheets/d/1SX6NBoVAgQJ6U1MVXOaj8PK2l7WJ3RER9xtqwdhxkhw/edit?usp=sharing"",""ฉะเชิงเทรา!L430"")"),34340)</f>
        <v>34340</v>
      </c>
      <c r="M535" s="165"/>
      <c r="N535" s="169">
        <f ca="1">IFERROR(__xludf.DUMMYFUNCTION("IMPORTRANGE(""https://docs.google.com/spreadsheets/d/1SX6NBoVAgQJ6U1MVXOaj8PK2l7WJ3RER9xtqwdhxkhw/edit?usp=sharing"",""ฉะเชิงเทรา!M430"")"),34340)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IFERROR(__xludf.DUMMYFUNCTION("IMPORTRANGE(""https://docs.google.com/spreadsheets/d/1SX6NBoVAgQJ6U1MVXOaj8PK2l7WJ3RER9xtqwdhxkhw/edit?usp=sharing"",""ฉะเชิงเทรา!L431"")"),0)</f>
        <v>0</v>
      </c>
      <c r="M536" s="169"/>
      <c r="N536" s="169">
        <f ca="1">IFERROR(__xludf.DUMMYFUNCTION("IMPORTRANGE(""https://docs.google.com/spreadsheets/d/1SX6NBoVAgQJ6U1MVXOaj8PK2l7WJ3RER9xtqwdhxkhw/edit?usp=sharing"",""ฉะเชิงเทรา!M431"")"),0)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IFERROR(__xludf.DUMMYFUNCTION("IMPORTRANGE(""https://docs.google.com/spreadsheets/d/1SX6NBoVAgQJ6U1MVXOaj8PK2l7WJ3RER9xtqwdhxkhw/edit?usp=sharing"",""ฉะเชิงเทรา!L432"")"),34340)</f>
        <v>34340</v>
      </c>
      <c r="M537" s="169"/>
      <c r="N537" s="169">
        <f ca="1">IFERROR(__xludf.DUMMYFUNCTION("IMPORTRANGE(""https://docs.google.com/spreadsheets/d/1SX6NBoVAgQJ6U1MVXOaj8PK2l7WJ3RER9xtqwdhxkhw/edit?usp=sharing"",""ฉะเชิงเทรา!M432"")"),34340)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IFERROR(__xludf.DUMMYFUNCTION("IMPORTRANGE(""https://docs.google.com/spreadsheets/d/1SX6NBoVAgQJ6U1MVXOaj8PK2l7WJ3RER9xtqwdhxkhw/edit?usp=sharing"",""ฉะเชิงเทรา!M433"")"),18740)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IFERROR(__xludf.DUMMYFUNCTION("IMPORTRANGE(""https://docs.google.com/spreadsheets/d/1SX6NBoVAgQJ6U1MVXOaj8PK2l7WJ3RER9xtqwdhxkhw/edit?usp=sharing"",""ฉะเชิงเทรา!M434"")"),0)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IFERROR(__xludf.DUMMYFUNCTION("IMPORTRANGE(""https://docs.google.com/spreadsheets/d/1SX6NBoVAgQJ6U1MVXOaj8PK2l7WJ3RER9xtqwdhxkhw/edit?usp=sharing"",""ฉะเชิงเทรา!M435"")"),0)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IFERROR(__xludf.DUMMYFUNCTION("IMPORTRANGE(""https://docs.google.com/spreadsheets/d/1SX6NBoVAgQJ6U1MVXOaj8PK2l7WJ3RER9xtqwdhxkhw/edit?usp=sharing"",""ฉะเชิงเทรา!M436"")"),15600)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IFERROR(__xludf.DUMMYFUNCTION("IMPORTRANGE(""https://docs.google.com/spreadsheets/d/1SX6NBoVAgQJ6U1MVXOaj8PK2l7WJ3RER9xtqwdhxkhw/edit?usp=sharing"",""ฉะเชิงเทรา!J438"")"),0)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IFERROR(__xludf.DUMMYFUNCTION("IMPORTRANGE(""https://docs.google.com/spreadsheets/d/1SX6NBoVAgQJ6U1MVXOaj8PK2l7WJ3RER9xtqwdhxkhw/edit?usp=sharing"",""ฉะเชิงเทรา!J439"")"),1)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IFERROR(__xludf.DUMMYFUNCTION("IMPORTRANGE(""https://docs.google.com/spreadsheets/d/1SX6NBoVAgQJ6U1MVXOaj8PK2l7WJ3RER9xtqwdhxkhw/edit?usp=sharing"",""ฉะเชิงเทรา!J440"")"),1)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IFERROR(__xludf.DUMMYFUNCTION("IMPORTRANGE(""https://docs.google.com/spreadsheets/d/1SX6NBoVAgQJ6U1MVXOaj8PK2l7WJ3RER9xtqwdhxkhw/edit?usp=sharing"",""ฉะเชิงเทรา!J441"")"),1)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IFERROR(__xludf.DUMMYFUNCTION("IMPORTRANGE(""https://docs.google.com/spreadsheets/d/1SX6NBoVAgQJ6U1MVXOaj8PK2l7WJ3RER9xtqwdhxkhw/edit?usp=sharing"",""ฉะเชิงเทรา!I442"")"),22)</f>
        <v>22</v>
      </c>
      <c r="J547" s="189">
        <f ca="1">IFERROR(__xludf.DUMMYFUNCTION("IMPORTRANGE(""https://docs.google.com/spreadsheets/d/1SX6NBoVAgQJ6U1MVXOaj8PK2l7WJ3RER9xtqwdhxkhw/edit?usp=sharing"",""ฉะเชิงเทรา!J442"")"),22)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IFERROR(__xludf.DUMMYFUNCTION("IMPORTRANGE(""https://docs.google.com/spreadsheets/d/1SX6NBoVAgQJ6U1MVXOaj8PK2l7WJ3RER9xtqwdhxkhw/edit?usp=sharing"",""ฉะเชิงเทรา!J166"")"),0)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IFERROR(__xludf.DUMMYFUNCTION("IMPORTRANGE(""https://docs.google.com/spreadsheets/d/1SX6NBoVAgQJ6U1MVXOaj8PK2l7WJ3RER9xtqwdhxkhw/edit?usp=sharing"",""ฉะเชิงเทรา!J444"")"),1)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IFERROR(__xludf.DUMMYFUNCTION("IMPORTRANGE(""https://docs.google.com/spreadsheets/d/1SX6NBoVAgQJ6U1MVXOaj8PK2l7WJ3RER9xtqwdhxkhw/edit?usp=sharing"",""ฉะเชิงเทรา!J445"")"),1)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IFERROR(__xludf.DUMMYFUNCTION("IMPORTRANGE(""https://docs.google.com/spreadsheets/d/1SX6NBoVAgQJ6U1MVXOaj8PK2l7WJ3RER9xtqwdhxkhw/edit?usp=sharing"",""ฉะเชิงเทรา!I446"")"),0)</f>
        <v>0</v>
      </c>
      <c r="J551" s="410">
        <f ca="1">IFERROR(__xludf.DUMMYFUNCTION("IMPORTRANGE(""https://docs.google.com/spreadsheets/d/1SX6NBoVAgQJ6U1MVXOaj8PK2l7WJ3RER9xtqwdhxkhw/edit?usp=sharing"",""ฉะเชิงเทรา!J446"")"),0)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IFERROR(__xludf.DUMMYFUNCTION("IMPORTRANGE(""https://docs.google.com/spreadsheets/d/1SX6NBoVAgQJ6U1MVXOaj8PK2l7WJ3RER9xtqwdhxkhw/edit?usp=sharing"",""ฉะเชิงเทรา!L446"")"),0)</f>
        <v>0</v>
      </c>
      <c r="M551" s="412"/>
      <c r="N551" s="412">
        <f ca="1">IFERROR(__xludf.DUMMYFUNCTION("IMPORTRANGE(""https://docs.google.com/spreadsheets/d/1SX6NBoVAgQJ6U1MVXOaj8PK2l7WJ3RER9xtqwdhxkhw/edit?usp=sharing"",""ฉะเชิงเทรา!M446"")"),0)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IFERROR(__xludf.DUMMYFUNCTION("IMPORTRANGE(""https://docs.google.com/spreadsheets/d/1SX6NBoVAgQJ6U1MVXOaj8PK2l7WJ3RER9xtqwdhxkhw/edit?usp=sharing"",""ฉะเชิงเทรา!L447"")"),0)</f>
        <v>0</v>
      </c>
      <c r="M552" s="164"/>
      <c r="N552" s="169">
        <f ca="1">IFERROR(__xludf.DUMMYFUNCTION("IMPORTRANGE(""https://docs.google.com/spreadsheets/d/1SX6NBoVAgQJ6U1MVXOaj8PK2l7WJ3RER9xtqwdhxkhw/edit?usp=sharing"",""ฉะเชิงเทรา!M447"")"),0)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IFERROR(__xludf.DUMMYFUNCTION("IMPORTRANGE(""https://docs.google.com/spreadsheets/d/1SX6NBoVAgQJ6U1MVXOaj8PK2l7WJ3RER9xtqwdhxkhw/edit?usp=sharing"",""ฉะเชิงเทรา!L448"")"),0)</f>
        <v>0</v>
      </c>
      <c r="M553" s="165"/>
      <c r="N553" s="169">
        <f ca="1">IFERROR(__xludf.DUMMYFUNCTION("IMPORTRANGE(""https://docs.google.com/spreadsheets/d/1SX6NBoVAgQJ6U1MVXOaj8PK2l7WJ3RER9xtqwdhxkhw/edit?usp=sharing"",""ฉะเชิงเทรา!M448"")"),0)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IFERROR(__xludf.DUMMYFUNCTION("IMPORTRANGE(""https://docs.google.com/spreadsheets/d/1SX6NBoVAgQJ6U1MVXOaj8PK2l7WJ3RER9xtqwdhxkhw/edit?usp=sharing"",""ฉะเชิงเทรา!L449"")"),0)</f>
        <v>0</v>
      </c>
      <c r="M554" s="169"/>
      <c r="N554" s="169">
        <f ca="1">IFERROR(__xludf.DUMMYFUNCTION("IMPORTRANGE(""https://docs.google.com/spreadsheets/d/1SX6NBoVAgQJ6U1MVXOaj8PK2l7WJ3RER9xtqwdhxkhw/edit?usp=sharing"",""ฉะเชิงเทรา!M449"")"),0)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IFERROR(__xludf.DUMMYFUNCTION("IMPORTRANGE(""https://docs.google.com/spreadsheets/d/1SX6NBoVAgQJ6U1MVXOaj8PK2l7WJ3RER9xtqwdhxkhw/edit?usp=sharing"",""ฉะเชิงเทรา!L450"")"),0)</f>
        <v>0</v>
      </c>
      <c r="M555" s="169"/>
      <c r="N555" s="169">
        <f ca="1">IFERROR(__xludf.DUMMYFUNCTION("IMPORTRANGE(""https://docs.google.com/spreadsheets/d/1SX6NBoVAgQJ6U1MVXOaj8PK2l7WJ3RER9xtqwdhxkhw/edit?usp=sharing"",""ฉะเชิงเทรา!M450"")"),0)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IFERROR(__xludf.DUMMYFUNCTION("IMPORTRANGE(""https://docs.google.com/spreadsheets/d/1SX6NBoVAgQJ6U1MVXOaj8PK2l7WJ3RER9xtqwdhxkhw/edit?usp=sharing"",""ฉะเชิงเทรา!M451"")"),0)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IFERROR(__xludf.DUMMYFUNCTION("IMPORTRANGE(""https://docs.google.com/spreadsheets/d/1SX6NBoVAgQJ6U1MVXOaj8PK2l7WJ3RER9xtqwdhxkhw/edit?usp=sharing"",""ฉะเชิงเทรา!M452"")"),0)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IFERROR(__xludf.DUMMYFUNCTION("IMPORTRANGE(""https://docs.google.com/spreadsheets/d/1SX6NBoVAgQJ6U1MVXOaj8PK2l7WJ3RER9xtqwdhxkhw/edit?usp=sharing"",""ฉะเชิงเทรา!M453"")"),0)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IFERROR(__xludf.DUMMYFUNCTION("IMPORTRANGE(""https://docs.google.com/spreadsheets/d/1SX6NBoVAgQJ6U1MVXOaj8PK2l7WJ3RER9xtqwdhxkhw/edit?usp=sharing"",""ฉะเชิงเทรา!M454"")"),0)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IFERROR(__xludf.DUMMYFUNCTION("IMPORTRANGE(""https://docs.google.com/spreadsheets/d/1SX6NBoVAgQJ6U1MVXOaj8PK2l7WJ3RER9xtqwdhxkhw/edit?usp=sharing"",""ฉะเชิงเทรา!I455"")"),0)</f>
        <v>0</v>
      </c>
      <c r="J560" s="162">
        <f ca="1">IFERROR(__xludf.DUMMYFUNCTION("IMPORTRANGE(""https://docs.google.com/spreadsheets/d/1SX6NBoVAgQJ6U1MVXOaj8PK2l7WJ3RER9xtqwdhxkhw/edit?usp=sharing"",""ฉะเชิงเทรา!J455"")"),0)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IFERROR(__xludf.DUMMYFUNCTION("IMPORTRANGE(""https://docs.google.com/spreadsheets/d/1SX6NBoVAgQJ6U1MVXOaj8PK2l7WJ3RER9xtqwdhxkhw/edit?usp=sharing"",""ฉะเชิงเทรา!I456"")"),0)</f>
        <v>0</v>
      </c>
      <c r="J561" s="204">
        <f ca="1">IFERROR(__xludf.DUMMYFUNCTION("IMPORTRANGE(""https://docs.google.com/spreadsheets/d/1SX6NBoVAgQJ6U1MVXOaj8PK2l7WJ3RER9xtqwdhxkhw/edit?usp=sharing"",""ฉะเชิงเทรา!J456"")"),0)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IFERROR(__xludf.DUMMYFUNCTION("IMPORTRANGE(""https://docs.google.com/spreadsheets/d/1SX6NBoVAgQJ6U1MVXOaj8PK2l7WJ3RER9xtqwdhxkhw/edit?usp=sharing"",""ฉะเชิงเทรา!I459"")"),1800)</f>
        <v>1800</v>
      </c>
      <c r="J564" s="371">
        <f ca="1">IFERROR(__xludf.DUMMYFUNCTION("IMPORTRANGE(""https://docs.google.com/spreadsheets/d/1SX6NBoVAgQJ6U1MVXOaj8PK2l7WJ3RER9xtqwdhxkhw/edit?usp=sharing"",""ฉะเชิงเทรา!J459"")"),7622)</f>
        <v>7622</v>
      </c>
      <c r="K564" s="372">
        <f ca="1">IF(I564&gt;0,J564*100/I564,0)</f>
        <v>423.44444444444446</v>
      </c>
      <c r="L564" s="373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3"/>
      <c r="N564" s="373">
        <f ca="1">IFERROR(__xludf.DUMMYFUNCTION("IMPORTRANGE(""https://docs.google.com/spreadsheets/d/1SX6NBoVAgQJ6U1MVXOaj8PK2l7WJ3RER9xtqwdhxkhw/edit?usp=sharing"",""ฉะเชิงเทรา!M459"")"),121501.36)</f>
        <v>121501.36</v>
      </c>
      <c r="O564" s="373">
        <f t="shared" ref="O564:O568" ca="1" si="122">+IF(L564&gt;0,N564*100/L564,0)</f>
        <v>86.195629965947788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IFERROR(__xludf.DUMMYFUNCTION("IMPORTRANGE(""https://docs.google.com/spreadsheets/d/1SX6NBoVAgQJ6U1MVXOaj8PK2l7WJ3RER9xtqwdhxkhw/edit?usp=sharing"",""ฉะเชิงเทรา!L460"")"),0)</f>
        <v>0</v>
      </c>
      <c r="M565" s="164"/>
      <c r="N565" s="169">
        <f ca="1">IFERROR(__xludf.DUMMYFUNCTION("IMPORTRANGE(""https://docs.google.com/spreadsheets/d/1SX6NBoVAgQJ6U1MVXOaj8PK2l7WJ3RER9xtqwdhxkhw/edit?usp=sharing"",""ฉะเชิงเทรา!M460"")"),0)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5"/>
      <c r="N566" s="169">
        <f ca="1">IFERROR(__xludf.DUMMYFUNCTION("IMPORTRANGE(""https://docs.google.com/spreadsheets/d/1SX6NBoVAgQJ6U1MVXOaj8PK2l7WJ3RER9xtqwdhxkhw/edit?usp=sharing"",""ฉะเชิงเทรา!M461"")"),121501.36)</f>
        <v>121501.36</v>
      </c>
      <c r="O566" s="169">
        <f t="shared" ca="1" si="122"/>
        <v>86.195629965947788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IFERROR(__xludf.DUMMYFUNCTION("IMPORTRANGE(""https://docs.google.com/spreadsheets/d/1SX6NBoVAgQJ6U1MVXOaj8PK2l7WJ3RER9xtqwdhxkhw/edit?usp=sharing"",""ฉะเชิงเทรา!L462"")"),0)</f>
        <v>0</v>
      </c>
      <c r="M567" s="169"/>
      <c r="N567" s="169">
        <f ca="1">IFERROR(__xludf.DUMMYFUNCTION("IMPORTRANGE(""https://docs.google.com/spreadsheets/d/1SX6NBoVAgQJ6U1MVXOaj8PK2l7WJ3RER9xtqwdhxkhw/edit?usp=sharing"",""ฉะเชิงเทรา!M462"")"),0)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IFERROR(__xludf.DUMMYFUNCTION("IMPORTRANGE(""https://docs.google.com/spreadsheets/d/1SX6NBoVAgQJ6U1MVXOaj8PK2l7WJ3RER9xtqwdhxkhw/edit?usp=sharing"",""ฉะเชิงเทรา!L463"")"),140960)</f>
        <v>140960</v>
      </c>
      <c r="M568" s="169"/>
      <c r="N568" s="169">
        <f ca="1">IFERROR(__xludf.DUMMYFUNCTION("IMPORTRANGE(""https://docs.google.com/spreadsheets/d/1SX6NBoVAgQJ6U1MVXOaj8PK2l7WJ3RER9xtqwdhxkhw/edit?usp=sharing"",""ฉะเชิงเทรา!M463"")"),121501.36)</f>
        <v>121501.36</v>
      </c>
      <c r="O568" s="169">
        <f t="shared" ca="1" si="122"/>
        <v>86.195629965947788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IFERROR(__xludf.DUMMYFUNCTION("IMPORTRANGE(""https://docs.google.com/spreadsheets/d/1SX6NBoVAgQJ6U1MVXOaj8PK2l7WJ3RER9xtqwdhxkhw/edit?usp=sharing"",""ฉะเชิงเทรา!M464"")"),0)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IFERROR(__xludf.DUMMYFUNCTION("IMPORTRANGE(""https://docs.google.com/spreadsheets/d/1SX6NBoVAgQJ6U1MVXOaj8PK2l7WJ3RER9xtqwdhxkhw/edit?usp=sharing"",""ฉะเชิงเทรา!M465"")"),0)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IFERROR(__xludf.DUMMYFUNCTION("IMPORTRANGE(""https://docs.google.com/spreadsheets/d/1SX6NBoVAgQJ6U1MVXOaj8PK2l7WJ3RER9xtqwdhxkhw/edit?usp=sharing"",""ฉะเชิงเทรา!M466"")"),92766.36)</f>
        <v>92766.36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IFERROR(__xludf.DUMMYFUNCTION("IMPORTRANGE(""https://docs.google.com/spreadsheets/d/1SX6NBoVAgQJ6U1MVXOaj8PK2l7WJ3RER9xtqwdhxkhw/edit?usp=sharing"",""ฉะเชิงเทรา!M467"")"),28735)</f>
        <v>28735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IFERROR(__xludf.DUMMYFUNCTION("IMPORTRANGE(""https://docs.google.com/spreadsheets/d/1SX6NBoVAgQJ6U1MVXOaj8PK2l7WJ3RER9xtqwdhxkhw/edit?usp=sharing"",""ฉะเชิงเทรา!I468"")"),1800)</f>
        <v>1800</v>
      </c>
      <c r="J573" s="420">
        <f ca="1">IFERROR(__xludf.DUMMYFUNCTION("IMPORTRANGE(""https://docs.google.com/spreadsheets/d/1SX6NBoVAgQJ6U1MVXOaj8PK2l7WJ3RER9xtqwdhxkhw/edit?usp=sharing"",""ฉะเชิงเทรา!J468"")"),7622)</f>
        <v>7622</v>
      </c>
      <c r="K573" s="202">
        <f ca="1">IF(I573&gt;0,J573*100/I573,0)</f>
        <v>423.44444444444446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IFERROR(__xludf.DUMMYFUNCTION("IMPORTRANGE(""https://docs.google.com/spreadsheets/d/1SX6NBoVAgQJ6U1MVXOaj8PK2l7WJ3RER9xtqwdhxkhw/edit?usp=sharing"",""ฉะเชิงเทรา!I470"")"),0)</f>
        <v>0</v>
      </c>
      <c r="J575" s="198">
        <f ca="1">IFERROR(__xludf.DUMMYFUNCTION("IMPORTRANGE(""https://docs.google.com/spreadsheets/d/1SX6NBoVAgQJ6U1MVXOaj8PK2l7WJ3RER9xtqwdhxkhw/edit?usp=sharing"",""ฉะเชิงเทรา!J470"")"),8)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IFERROR(__xludf.DUMMYFUNCTION("IMPORTRANGE(""https://docs.google.com/spreadsheets/d/1SX6NBoVAgQJ6U1MVXOaj8PK2l7WJ3RER9xtqwdhxkhw/edit?usp=sharing"",""ฉะเชิงเทรา!I471"")"),0)</f>
        <v>0</v>
      </c>
      <c r="J576" s="198">
        <f ca="1">IFERROR(__xludf.DUMMYFUNCTION("IMPORTRANGE(""https://docs.google.com/spreadsheets/d/1SX6NBoVAgQJ6U1MVXOaj8PK2l7WJ3RER9xtqwdhxkhw/edit?usp=sharing"",""ฉะเชิงเทรา!J471"")"),349)</f>
        <v>349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IFERROR(__xludf.DUMMYFUNCTION("IMPORTRANGE(""https://docs.google.com/spreadsheets/d/1SX6NBoVAgQJ6U1MVXOaj8PK2l7WJ3RER9xtqwdhxkhw/edit?usp=sharing"",""ฉะเชิงเทรา!I472"")"),0)</f>
        <v>0</v>
      </c>
      <c r="J577" s="189">
        <f ca="1">IFERROR(__xludf.DUMMYFUNCTION("IMPORTRANGE(""https://docs.google.com/spreadsheets/d/1SX6NBoVAgQJ6U1MVXOaj8PK2l7WJ3RER9xtqwdhxkhw/edit?usp=sharing"",""ฉะเชิงเทรา!J472"")"),7273)</f>
        <v>7273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IFERROR(__xludf.DUMMYFUNCTION("IMPORTRANGE(""https://docs.google.com/spreadsheets/d/1SX6NBoVAgQJ6U1MVXOaj8PK2l7WJ3RER9xtqwdhxkhw/edit?usp=sharing"",""ฉะเชิงเทรา!I473"")"),0)</f>
        <v>0</v>
      </c>
      <c r="J578" s="198">
        <f ca="1">IFERROR(__xludf.DUMMYFUNCTION("IMPORTRANGE(""https://docs.google.com/spreadsheets/d/1SX6NBoVAgQJ6U1MVXOaj8PK2l7WJ3RER9xtqwdhxkhw/edit?usp=sharing"",""ฉะเชิงเทรา!J473"")"),0)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IFERROR(__xludf.DUMMYFUNCTION("IMPORTRANGE(""https://docs.google.com/spreadsheets/d/1SX6NBoVAgQJ6U1MVXOaj8PK2l7WJ3RER9xtqwdhxkhw/edit?usp=sharing"",""ฉะเชิงเทรา!I474"")"),0)</f>
        <v>0</v>
      </c>
      <c r="J579" s="198">
        <f ca="1">IFERROR(__xludf.DUMMYFUNCTION("IMPORTRANGE(""https://docs.google.com/spreadsheets/d/1SX6NBoVAgQJ6U1MVXOaj8PK2l7WJ3RER9xtqwdhxkhw/edit?usp=sharing"",""ฉะเชิงเทรา!J474"")"),0)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IFERROR(__xludf.DUMMYFUNCTION("IMPORTRANGE(""https://docs.google.com/spreadsheets/d/1SX6NBoVAgQJ6U1MVXOaj8PK2l7WJ3RER9xtqwdhxkhw/edit?usp=sharing"",""ฉะเชิงเทรา!I475"")"),200)</f>
        <v>200</v>
      </c>
      <c r="J580" s="371">
        <f ca="1">IFERROR(__xludf.DUMMYFUNCTION("IMPORTRANGE(""https://docs.google.com/spreadsheets/d/1SX6NBoVAgQJ6U1MVXOaj8PK2l7WJ3RER9xtqwdhxkhw/edit?usp=sharing"",""ฉะเชิงเทรา!J475"")"),39)</f>
        <v>39</v>
      </c>
      <c r="K580" s="372">
        <f ca="1">IF(I580&gt;0,J580*100/I580,0)</f>
        <v>19.5</v>
      </c>
      <c r="L580" s="373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3"/>
      <c r="N580" s="373">
        <f ca="1">IFERROR(__xludf.DUMMYFUNCTION("IMPORTRANGE(""https://docs.google.com/spreadsheets/d/1SX6NBoVAgQJ6U1MVXOaj8PK2l7WJ3RER9xtqwdhxkhw/edit?usp=sharing"",""ฉะเชิงเทรา!M475"")"),194662.96)</f>
        <v>194662.96</v>
      </c>
      <c r="O580" s="373">
        <f t="shared" ref="O580:O584" ca="1" si="124">+IF(L580&gt;0,N580*100/L580,0)</f>
        <v>59.312297379646559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IFERROR(__xludf.DUMMYFUNCTION("IMPORTRANGE(""https://docs.google.com/spreadsheets/d/1SX6NBoVAgQJ6U1MVXOaj8PK2l7WJ3RER9xtqwdhxkhw/edit?usp=sharing"",""ฉะเชิงเทรา!L476"")"),0)</f>
        <v>0</v>
      </c>
      <c r="M581" s="164"/>
      <c r="N581" s="169">
        <f ca="1">IFERROR(__xludf.DUMMYFUNCTION("IMPORTRANGE(""https://docs.google.com/spreadsheets/d/1SX6NBoVAgQJ6U1MVXOaj8PK2l7WJ3RER9xtqwdhxkhw/edit?usp=sharing"",""ฉะเชิงเทรา!M476"")"),0)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5"/>
      <c r="N582" s="169">
        <f ca="1">IFERROR(__xludf.DUMMYFUNCTION("IMPORTRANGE(""https://docs.google.com/spreadsheets/d/1SX6NBoVAgQJ6U1MVXOaj8PK2l7WJ3RER9xtqwdhxkhw/edit?usp=sharing"",""ฉะเชิงเทรา!M477"")"),194662.96)</f>
        <v>194662.96</v>
      </c>
      <c r="O582" s="169">
        <f t="shared" ca="1" si="124"/>
        <v>59.312297379646559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IFERROR(__xludf.DUMMYFUNCTION("IMPORTRANGE(""https://docs.google.com/spreadsheets/d/1SX6NBoVAgQJ6U1MVXOaj8PK2l7WJ3RER9xtqwdhxkhw/edit?usp=sharing"",""ฉะเชิงเทรา!L478"")"),0)</f>
        <v>0</v>
      </c>
      <c r="M583" s="169"/>
      <c r="N583" s="169">
        <f ca="1">IFERROR(__xludf.DUMMYFUNCTION("IMPORTRANGE(""https://docs.google.com/spreadsheets/d/1SX6NBoVAgQJ6U1MVXOaj8PK2l7WJ3RER9xtqwdhxkhw/edit?usp=sharing"",""ฉะเชิงเทรา!M478"")"),0)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IFERROR(__xludf.DUMMYFUNCTION("IMPORTRANGE(""https://docs.google.com/spreadsheets/d/1SX6NBoVAgQJ6U1MVXOaj8PK2l7WJ3RER9xtqwdhxkhw/edit?usp=sharing"",""ฉะเชิงเทรา!L479"")"),328200)</f>
        <v>328200</v>
      </c>
      <c r="M584" s="169"/>
      <c r="N584" s="169">
        <f ca="1">IFERROR(__xludf.DUMMYFUNCTION("IMPORTRANGE(""https://docs.google.com/spreadsheets/d/1SX6NBoVAgQJ6U1MVXOaj8PK2l7WJ3RER9xtqwdhxkhw/edit?usp=sharing"",""ฉะเชิงเทรา!M479"")"),194662.96)</f>
        <v>194662.96</v>
      </c>
      <c r="O584" s="169">
        <f t="shared" ca="1" si="124"/>
        <v>59.312297379646559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IFERROR(__xludf.DUMMYFUNCTION("IMPORTRANGE(""https://docs.google.com/spreadsheets/d/1SX6NBoVAgQJ6U1MVXOaj8PK2l7WJ3RER9xtqwdhxkhw/edit?usp=sharing"",""ฉะเชิงเทรา!M480"")"),0)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IFERROR(__xludf.DUMMYFUNCTION("IMPORTRANGE(""https://docs.google.com/spreadsheets/d/1SX6NBoVAgQJ6U1MVXOaj8PK2l7WJ3RER9xtqwdhxkhw/edit?usp=sharing"",""ฉะเชิงเทรา!M481"")"),0)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IFERROR(__xludf.DUMMYFUNCTION("IMPORTRANGE(""https://docs.google.com/spreadsheets/d/1SX6NBoVAgQJ6U1MVXOaj8PK2l7WJ3RER9xtqwdhxkhw/edit?usp=sharing"",""ฉะเชิงเทรา!M482"")"),68199.96)</f>
        <v>68199.960000000006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IFERROR(__xludf.DUMMYFUNCTION("IMPORTRANGE(""https://docs.google.com/spreadsheets/d/1SX6NBoVAgQJ6U1MVXOaj8PK2l7WJ3RER9xtqwdhxkhw/edit?usp=sharing"",""ฉะเชิงเทรา!M483"")"),126463)</f>
        <v>126463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IFERROR(__xludf.DUMMYFUNCTION("IMPORTRANGE(""https://docs.google.com/spreadsheets/d/1SX6NBoVAgQJ6U1MVXOaj8PK2l7WJ3RER9xtqwdhxkhw/edit?usp=sharing"",""ฉะเชิงเทรา!I484"")"),200)</f>
        <v>200</v>
      </c>
      <c r="J589" s="188">
        <f ca="1">IFERROR(__xludf.DUMMYFUNCTION("IMPORTRANGE(""https://docs.google.com/spreadsheets/d/1SX6NBoVAgQJ6U1MVXOaj8PK2l7WJ3RER9xtqwdhxkhw/edit?usp=sharing"",""ฉะเชิงเทรา!J484"")"),219)</f>
        <v>219</v>
      </c>
      <c r="K589" s="163">
        <f t="shared" ref="K589:K596" ca="1" si="125">IF(I589&gt;0,J589*100/I589,0)</f>
        <v>109.5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IFERROR(__xludf.DUMMYFUNCTION("IMPORTRANGE(""https://docs.google.com/spreadsheets/d/1SX6NBoVAgQJ6U1MVXOaj8PK2l7WJ3RER9xtqwdhxkhw/edit?usp=sharing"",""ฉะเชิงเทรา!I485"")"),0)</f>
        <v>0</v>
      </c>
      <c r="J590" s="188">
        <f ca="1">IFERROR(__xludf.DUMMYFUNCTION("IMPORTRANGE(""https://docs.google.com/spreadsheets/d/1SX6NBoVAgQJ6U1MVXOaj8PK2l7WJ3RER9xtqwdhxkhw/edit?usp=sharing"",""ฉะเชิงเทรา!J485"")"),169.31)</f>
        <v>169.31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IFERROR(__xludf.DUMMYFUNCTION("IMPORTRANGE(""https://docs.google.com/spreadsheets/d/1SX6NBoVAgQJ6U1MVXOaj8PK2l7WJ3RER9xtqwdhxkhw/edit?usp=sharing"",""ฉะเชิงเทรา!I486"")"),200)</f>
        <v>200</v>
      </c>
      <c r="J591" s="188">
        <f ca="1">IFERROR(__xludf.DUMMYFUNCTION("IMPORTRANGE(""https://docs.google.com/spreadsheets/d/1SX6NBoVAgQJ6U1MVXOaj8PK2l7WJ3RER9xtqwdhxkhw/edit?usp=sharing"",""ฉะเชิงเทรา!J486"")"),79)</f>
        <v>79</v>
      </c>
      <c r="K591" s="163">
        <f t="shared" ca="1" si="125"/>
        <v>39.5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IFERROR(__xludf.DUMMYFUNCTION("IMPORTRANGE(""https://docs.google.com/spreadsheets/d/1SX6NBoVAgQJ6U1MVXOaj8PK2l7WJ3RER9xtqwdhxkhw/edit?usp=sharing"",""ฉะเชิงเทรา!I487"")"),0)</f>
        <v>0</v>
      </c>
      <c r="J592" s="188">
        <f ca="1">IFERROR(__xludf.DUMMYFUNCTION("IMPORTRANGE(""https://docs.google.com/spreadsheets/d/1SX6NBoVAgQJ6U1MVXOaj8PK2l7WJ3RER9xtqwdhxkhw/edit?usp=sharing"",""ฉะเชิงเทรา!J487"")"),67.9)</f>
        <v>67.900000000000006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IFERROR(__xludf.DUMMYFUNCTION("IMPORTRANGE(""https://docs.google.com/spreadsheets/d/1SX6NBoVAgQJ6U1MVXOaj8PK2l7WJ3RER9xtqwdhxkhw/edit?usp=sharing"",""ฉะเชิงเทรา!I488"")"),200)</f>
        <v>200</v>
      </c>
      <c r="J593" s="188">
        <f ca="1">IFERROR(__xludf.DUMMYFUNCTION("IMPORTRANGE(""https://docs.google.com/spreadsheets/d/1SX6NBoVAgQJ6U1MVXOaj8PK2l7WJ3RER9xtqwdhxkhw/edit?usp=sharing"",""ฉะเชิงเทรา!J488"")"),39)</f>
        <v>39</v>
      </c>
      <c r="K593" s="163">
        <f t="shared" ca="1" si="125"/>
        <v>19.5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IFERROR(__xludf.DUMMYFUNCTION("IMPORTRANGE(""https://docs.google.com/spreadsheets/d/1SX6NBoVAgQJ6U1MVXOaj8PK2l7WJ3RER9xtqwdhxkhw/edit?usp=sharing"",""ฉะเชิงเทรา!I489"")"),0)</f>
        <v>0</v>
      </c>
      <c r="J594" s="188">
        <f ca="1">IFERROR(__xludf.DUMMYFUNCTION("IMPORTRANGE(""https://docs.google.com/spreadsheets/d/1SX6NBoVAgQJ6U1MVXOaj8PK2l7WJ3RER9xtqwdhxkhw/edit?usp=sharing"",""ฉะเชิงเทรา!J489"")"),39.92)</f>
        <v>39.92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IFERROR(__xludf.DUMMYFUNCTION("IMPORTRANGE(""https://docs.google.com/spreadsheets/d/1SX6NBoVAgQJ6U1MVXOaj8PK2l7WJ3RER9xtqwdhxkhw/edit?usp=sharing"",""ฉะเชิงเทรา!I490"")"),200)</f>
        <v>200</v>
      </c>
      <c r="J595" s="188">
        <f ca="1">IFERROR(__xludf.DUMMYFUNCTION("IMPORTRANGE(""https://docs.google.com/spreadsheets/d/1SX6NBoVAgQJ6U1MVXOaj8PK2l7WJ3RER9xtqwdhxkhw/edit?usp=sharing"",""ฉะเชิงเทรา!J490"")"),39)</f>
        <v>39</v>
      </c>
      <c r="K595" s="163">
        <f t="shared" ca="1" si="125"/>
        <v>19.5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IFERROR(__xludf.DUMMYFUNCTION("IMPORTRANGE(""https://docs.google.com/spreadsheets/d/1SX6NBoVAgQJ6U1MVXOaj8PK2l7WJ3RER9xtqwdhxkhw/edit?usp=sharing"",""ฉะเชิงเทรา!I491"")"),0)</f>
        <v>0</v>
      </c>
      <c r="J596" s="242">
        <f ca="1">IFERROR(__xludf.DUMMYFUNCTION("IMPORTRANGE(""https://docs.google.com/spreadsheets/d/1SX6NBoVAgQJ6U1MVXOaj8PK2l7WJ3RER9xtqwdhxkhw/edit?usp=sharing"",""ฉะเชิงเทรา!J491"")"),39.92)</f>
        <v>39.92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IFERROR(__xludf.DUMMYFUNCTION("IMPORTRANGE(""https://docs.google.com/spreadsheets/d/1SX6NBoVAgQJ6U1MVXOaj8PK2l7WJ3RER9xtqwdhxkhw/edit?usp=sharing"",""ฉะเชิงเทรา!I492"")"),52)</f>
        <v>52</v>
      </c>
      <c r="J597" s="488">
        <f ca="1">IFERROR(__xludf.DUMMYFUNCTION("IMPORTRANGE(""https://docs.google.com/spreadsheets/d/1SX6NBoVAgQJ6U1MVXOaj8PK2l7WJ3RER9xtqwdhxkhw/edit?usp=sharing"",""ฉะเชิงเทรา!J492"")"),51)</f>
        <v>51</v>
      </c>
      <c r="K597" s="411">
        <f ca="1">IF(I597&gt;0,J597*100/I597,0)</f>
        <v>98.07692307692308</v>
      </c>
      <c r="L597" s="412">
        <f ca="1">IFERROR(__xludf.DUMMYFUNCTION("IMPORTRANGE(""https://docs.google.com/spreadsheets/d/1SX6NBoVAgQJ6U1MVXOaj8PK2l7WJ3RER9xtqwdhxkhw/edit?usp=sharing"",""ฉะเชิงเทรา!L492"")"),5460)</f>
        <v>5460</v>
      </c>
      <c r="M597" s="412"/>
      <c r="N597" s="412">
        <f ca="1">IFERROR(__xludf.DUMMYFUNCTION("IMPORTRANGE(""https://docs.google.com/spreadsheets/d/1SX6NBoVAgQJ6U1MVXOaj8PK2l7WJ3RER9xtqwdhxkhw/edit?usp=sharing"",""ฉะเชิงเทรา!M492"")"),10870)</f>
        <v>10870</v>
      </c>
      <c r="O597" s="412">
        <f t="shared" ref="O597:O601" ca="1" si="126">+IF(L597&gt;0,N597*100/L597,0)</f>
        <v>199.08424908424908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IFERROR(__xludf.DUMMYFUNCTION("IMPORTRANGE(""https://docs.google.com/spreadsheets/d/1SX6NBoVAgQJ6U1MVXOaj8PK2l7WJ3RER9xtqwdhxkhw/edit?usp=sharing"",""ฉะเชิงเทรา!L493"")"),0)</f>
        <v>0</v>
      </c>
      <c r="M598" s="164"/>
      <c r="N598" s="169">
        <f ca="1">IFERROR(__xludf.DUMMYFUNCTION("IMPORTRANGE(""https://docs.google.com/spreadsheets/d/1SX6NBoVAgQJ6U1MVXOaj8PK2l7WJ3RER9xtqwdhxkhw/edit?usp=sharing"",""ฉะเชิงเทรา!M493"")"),0)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IFERROR(__xludf.DUMMYFUNCTION("IMPORTRANGE(""https://docs.google.com/spreadsheets/d/1SX6NBoVAgQJ6U1MVXOaj8PK2l7WJ3RER9xtqwdhxkhw/edit?usp=sharing"",""ฉะเชิงเทรา!L494"")"),5460)</f>
        <v>5460</v>
      </c>
      <c r="M599" s="165"/>
      <c r="N599" s="169">
        <f ca="1">IFERROR(__xludf.DUMMYFUNCTION("IMPORTRANGE(""https://docs.google.com/spreadsheets/d/1SX6NBoVAgQJ6U1MVXOaj8PK2l7WJ3RER9xtqwdhxkhw/edit?usp=sharing"",""ฉะเชิงเทรา!M494"")"),10870)</f>
        <v>10870</v>
      </c>
      <c r="O599" s="169">
        <f t="shared" ca="1" si="126"/>
        <v>199.08424908424908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IFERROR(__xludf.DUMMYFUNCTION("IMPORTRANGE(""https://docs.google.com/spreadsheets/d/1SX6NBoVAgQJ6U1MVXOaj8PK2l7WJ3RER9xtqwdhxkhw/edit?usp=sharing"",""ฉะเชิงเทรา!L495"")"),0)</f>
        <v>0</v>
      </c>
      <c r="M600" s="169"/>
      <c r="N600" s="169">
        <f ca="1">IFERROR(__xludf.DUMMYFUNCTION("IMPORTRANGE(""https://docs.google.com/spreadsheets/d/1SX6NBoVAgQJ6U1MVXOaj8PK2l7WJ3RER9xtqwdhxkhw/edit?usp=sharing"",""ฉะเชิงเทรา!M495"")"),0)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IFERROR(__xludf.DUMMYFUNCTION("IMPORTRANGE(""https://docs.google.com/spreadsheets/d/1SX6NBoVAgQJ6U1MVXOaj8PK2l7WJ3RER9xtqwdhxkhw/edit?usp=sharing"",""ฉะเชิงเทรา!L496"")"),5460)</f>
        <v>5460</v>
      </c>
      <c r="M601" s="169"/>
      <c r="N601" s="169">
        <f ca="1">IFERROR(__xludf.DUMMYFUNCTION("IMPORTRANGE(""https://docs.google.com/spreadsheets/d/1SX6NBoVAgQJ6U1MVXOaj8PK2l7WJ3RER9xtqwdhxkhw/edit?usp=sharing"",""ฉะเชิงเทรา!M496"")"),10870)</f>
        <v>10870</v>
      </c>
      <c r="O601" s="169">
        <f t="shared" ca="1" si="126"/>
        <v>199.08424908424908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IFERROR(__xludf.DUMMYFUNCTION("IMPORTRANGE(""https://docs.google.com/spreadsheets/d/1SX6NBoVAgQJ6U1MVXOaj8PK2l7WJ3RER9xtqwdhxkhw/edit?usp=sharing"",""ฉะเชิงเทรา!M497"")"),0)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IFERROR(__xludf.DUMMYFUNCTION("IMPORTRANGE(""https://docs.google.com/spreadsheets/d/1SX6NBoVAgQJ6U1MVXOaj8PK2l7WJ3RER9xtqwdhxkhw/edit?usp=sharing"",""ฉะเชิงเทรา!M498"")"),0)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IFERROR(__xludf.DUMMYFUNCTION("IMPORTRANGE(""https://docs.google.com/spreadsheets/d/1SX6NBoVAgQJ6U1MVXOaj8PK2l7WJ3RER9xtqwdhxkhw/edit?usp=sharing"",""ฉะเชิงเทรา!M499"")"),0)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IFERROR(__xludf.DUMMYFUNCTION("IMPORTRANGE(""https://docs.google.com/spreadsheets/d/1SX6NBoVAgQJ6U1MVXOaj8PK2l7WJ3RER9xtqwdhxkhw/edit?usp=sharing"",""ฉะเชิงเทรา!M500"")"),10870)</f>
        <v>10870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IFERROR(__xludf.DUMMYFUNCTION("IMPORTRANGE(""https://docs.google.com/spreadsheets/d/1SX6NBoVAgQJ6U1MVXOaj8PK2l7WJ3RER9xtqwdhxkhw/edit?usp=sharing"",""ฉะเชิงเทรา!J502"")"),0)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IFERROR(__xludf.DUMMYFUNCTION("IMPORTRANGE(""https://docs.google.com/spreadsheets/d/1SX6NBoVAgQJ6U1MVXOaj8PK2l7WJ3RER9xtqwdhxkhw/edit?usp=sharing"",""ฉะเชิงเทรา!J503"")"),1)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IFERROR(__xludf.DUMMYFUNCTION("IMPORTRANGE(""https://docs.google.com/spreadsheets/d/1SX6NBoVAgQJ6U1MVXOaj8PK2l7WJ3RER9xtqwdhxkhw/edit?usp=sharing"",""ฉะเชิงเทรา!J166"")"),0)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IFERROR(__xludf.DUMMYFUNCTION("IMPORTRANGE(""https://docs.google.com/spreadsheets/d/1SX6NBoVAgQJ6U1MVXOaj8PK2l7WJ3RER9xtqwdhxkhw/edit?usp=sharing"",""ฉะเชิงเทรา!J166"")"),0)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IFERROR(__xludf.DUMMYFUNCTION("IMPORTRANGE(""https://docs.google.com/spreadsheets/d/1SX6NBoVAgQJ6U1MVXOaj8PK2l7WJ3RER9xtqwdhxkhw/edit?usp=sharing"",""ฉะเชิงเทรา!I506"")"),52)</f>
        <v>52</v>
      </c>
      <c r="J611" s="162">
        <f ca="1">IFERROR(__xludf.DUMMYFUNCTION("IMPORTRANGE(""https://docs.google.com/spreadsheets/d/1SX6NBoVAgQJ6U1MVXOaj8PK2l7WJ3RER9xtqwdhxkhw/edit?usp=sharing"",""ฉะเชิงเทรา!J506"")"),51)</f>
        <v>51</v>
      </c>
      <c r="K611" s="163">
        <f t="shared" ref="K611:K619" ca="1" si="127">IF(I$611&gt;0,J611*100/I$611,0)</f>
        <v>98.07692307692308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IFERROR(__xludf.DUMMYFUNCTION("IMPORTRANGE(""https://docs.google.com/spreadsheets/d/1SX6NBoVAgQJ6U1MVXOaj8PK2l7WJ3RER9xtqwdhxkhw/edit?usp=sharing"",""ฉะเชิงเทรา!I507"")"),0)</f>
        <v>0</v>
      </c>
      <c r="J612" s="198">
        <f ca="1">IFERROR(__xludf.DUMMYFUNCTION("IMPORTRANGE(""https://docs.google.com/spreadsheets/d/1SX6NBoVAgQJ6U1MVXOaj8PK2l7WJ3RER9xtqwdhxkhw/edit?usp=sharing"",""ฉะเชิงเทรา!J507"")"),51)</f>
        <v>51</v>
      </c>
      <c r="K612" s="163">
        <f t="shared" ca="1" si="127"/>
        <v>98.07692307692308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IFERROR(__xludf.DUMMYFUNCTION("IMPORTRANGE(""https://docs.google.com/spreadsheets/d/1SX6NBoVAgQJ6U1MVXOaj8PK2l7WJ3RER9xtqwdhxkhw/edit?usp=sharing"",""ฉะเชิงเทรา!I508"")"),0)</f>
        <v>0</v>
      </c>
      <c r="J613" s="198">
        <f ca="1">IFERROR(__xludf.DUMMYFUNCTION("IMPORTRANGE(""https://docs.google.com/spreadsheets/d/1SX6NBoVAgQJ6U1MVXOaj8PK2l7WJ3RER9xtqwdhxkhw/edit?usp=sharing"",""ฉะเชิงเทรา!J508"")"),51)</f>
        <v>51</v>
      </c>
      <c r="K613" s="163">
        <f t="shared" ca="1" si="127"/>
        <v>98.07692307692308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IFERROR(__xludf.DUMMYFUNCTION("IMPORTRANGE(""https://docs.google.com/spreadsheets/d/1SX6NBoVAgQJ6U1MVXOaj8PK2l7WJ3RER9xtqwdhxkhw/edit?usp=sharing"",""ฉะเชิงเทรา!I509"")"),0)</f>
        <v>0</v>
      </c>
      <c r="J614" s="198">
        <f ca="1">IFERROR(__xludf.DUMMYFUNCTION("IMPORTRANGE(""https://docs.google.com/spreadsheets/d/1SX6NBoVAgQJ6U1MVXOaj8PK2l7WJ3RER9xtqwdhxkhw/edit?usp=sharing"",""ฉะเชิงเทรา!J509"")"),51)</f>
        <v>51</v>
      </c>
      <c r="K614" s="163">
        <f t="shared" ca="1" si="127"/>
        <v>98.07692307692308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IFERROR(__xludf.DUMMYFUNCTION("IMPORTRANGE(""https://docs.google.com/spreadsheets/d/1SX6NBoVAgQJ6U1MVXOaj8PK2l7WJ3RER9xtqwdhxkhw/edit?usp=sharing"",""ฉะเชิงเทรา!I510"")"),0)</f>
        <v>0</v>
      </c>
      <c r="J615" s="198">
        <f ca="1">IFERROR(__xludf.DUMMYFUNCTION("IMPORTRANGE(""https://docs.google.com/spreadsheets/d/1SX6NBoVAgQJ6U1MVXOaj8PK2l7WJ3RER9xtqwdhxkhw/edit?usp=sharing"",""ฉะเชิงเทรา!J510"")"),51)</f>
        <v>51</v>
      </c>
      <c r="K615" s="163">
        <f t="shared" ca="1" si="127"/>
        <v>98.07692307692308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IFERROR(__xludf.DUMMYFUNCTION("IMPORTRANGE(""https://docs.google.com/spreadsheets/d/1SX6NBoVAgQJ6U1MVXOaj8PK2l7WJ3RER9xtqwdhxkhw/edit?usp=sharing"",""ฉะเชิงเทรา!I511"")"),0)</f>
        <v>0</v>
      </c>
      <c r="J616" s="198">
        <f ca="1">IFERROR(__xludf.DUMMYFUNCTION("IMPORTRANGE(""https://docs.google.com/spreadsheets/d/1SX6NBoVAgQJ6U1MVXOaj8PK2l7WJ3RER9xtqwdhxkhw/edit?usp=sharing"",""ฉะเชิงเทรา!J511"")"),51)</f>
        <v>51</v>
      </c>
      <c r="K616" s="163">
        <f t="shared" ca="1" si="127"/>
        <v>98.07692307692308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IFERROR(__xludf.DUMMYFUNCTION("IMPORTRANGE(""https://docs.google.com/spreadsheets/d/1SX6NBoVAgQJ6U1MVXOaj8PK2l7WJ3RER9xtqwdhxkhw/edit?usp=sharing"",""ฉะเชิงเทรา!I512"")"),0)</f>
        <v>0</v>
      </c>
      <c r="J617" s="188">
        <f ca="1">IFERROR(__xludf.DUMMYFUNCTION("IMPORTRANGE(""https://docs.google.com/spreadsheets/d/1SX6NBoVAgQJ6U1MVXOaj8PK2l7WJ3RER9xtqwdhxkhw/edit?usp=sharing"",""ฉะเชิงเทรา!J512"")"),51)</f>
        <v>51</v>
      </c>
      <c r="K617" s="163">
        <f t="shared" ca="1" si="127"/>
        <v>98.07692307692308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IFERROR(__xludf.DUMMYFUNCTION("IMPORTRANGE(""https://docs.google.com/spreadsheets/d/1SX6NBoVAgQJ6U1MVXOaj8PK2l7WJ3RER9xtqwdhxkhw/edit?usp=sharing"",""ฉะเชิงเทรา!I513"")"),0)</f>
        <v>0</v>
      </c>
      <c r="J618" s="189">
        <f ca="1">IFERROR(__xludf.DUMMYFUNCTION("IMPORTRANGE(""https://docs.google.com/spreadsheets/d/1SX6NBoVAgQJ6U1MVXOaj8PK2l7WJ3RER9xtqwdhxkhw/edit?usp=sharing"",""ฉะเชิงเทรา!J513"")"),0)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IFERROR(__xludf.DUMMYFUNCTION("IMPORTRANGE(""https://docs.google.com/spreadsheets/d/1SX6NBoVAgQJ6U1MVXOaj8PK2l7WJ3RER9xtqwdhxkhw/edit?usp=sharing"",""ฉะเชิงเทรา!I514"")"),0)</f>
        <v>0</v>
      </c>
      <c r="J619" s="189">
        <f ca="1">IFERROR(__xludf.DUMMYFUNCTION("IMPORTRANGE(""https://docs.google.com/spreadsheets/d/1SX6NBoVAgQJ6U1MVXOaj8PK2l7WJ3RER9xtqwdhxkhw/edit?usp=sharing"",""ฉะเชิงเทรา!J514"")"),51)</f>
        <v>51</v>
      </c>
      <c r="K619" s="163">
        <f t="shared" ca="1" si="127"/>
        <v>98.07692307692308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IFERROR(__xludf.DUMMYFUNCTION("IMPORTRANGE(""https://docs.google.com/spreadsheets/d/1SX6NBoVAgQJ6U1MVXOaj8PK2l7WJ3RER9xtqwdhxkhw/edit?usp=sharing"",""ฉะเชิงเทรา!I515"")"),0)</f>
        <v>0</v>
      </c>
      <c r="J620" s="203">
        <f ca="1">IFERROR(__xludf.DUMMYFUNCTION("IMPORTRANGE(""https://docs.google.com/spreadsheets/d/1SX6NBoVAgQJ6U1MVXOaj8PK2l7WJ3RER9xtqwdhxkhw/edit?usp=sharing"",""ฉะเชิงเทรา!J515"")"),0)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IFERROR(__xludf.DUMMYFUNCTION("IMPORTRANGE(""https://docs.google.com/spreadsheets/d/1SX6NBoVAgQJ6U1MVXOaj8PK2l7WJ3RER9xtqwdhxkhw/edit?usp=sharing"",""ฉะเชิงเทรา!I516"")"),0)</f>
        <v>0</v>
      </c>
      <c r="J621" s="203">
        <f ca="1">IFERROR(__xludf.DUMMYFUNCTION("IMPORTRANGE(""https://docs.google.com/spreadsheets/d/1SX6NBoVAgQJ6U1MVXOaj8PK2l7WJ3RER9xtqwdhxkhw/edit?usp=sharing"",""ฉะเชิงเทรา!J516"")"),0)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IFERROR(__xludf.DUMMYFUNCTION("IMPORTRANGE(""https://docs.google.com/spreadsheets/d/1SX6NBoVAgQJ6U1MVXOaj8PK2l7WJ3RER9xtqwdhxkhw/edit?usp=sharing"",""ฉะเชิงเทรา!I517"")"),0)</f>
        <v>0</v>
      </c>
      <c r="J622" s="189">
        <f ca="1">IFERROR(__xludf.DUMMYFUNCTION("IMPORTRANGE(""https://docs.google.com/spreadsheets/d/1SX6NBoVAgQJ6U1MVXOaj8PK2l7WJ3RER9xtqwdhxkhw/edit?usp=sharing"",""ฉะเชิงเทรา!J517"")"),0)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IFERROR(__xludf.DUMMYFUNCTION("IMPORTRANGE(""https://docs.google.com/spreadsheets/d/1SX6NBoVAgQJ6U1MVXOaj8PK2l7WJ3RER9xtqwdhxkhw/edit?usp=sharing"",""ฉะเชิงเทรา!I518"")"),0)</f>
        <v>0</v>
      </c>
      <c r="J623" s="189">
        <f ca="1">IFERROR(__xludf.DUMMYFUNCTION("IMPORTRANGE(""https://docs.google.com/spreadsheets/d/1SX6NBoVAgQJ6U1MVXOaj8PK2l7WJ3RER9xtqwdhxkhw/edit?usp=sharing"",""ฉะเชิงเทรา!J518"")"),0)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IFERROR(__xludf.DUMMYFUNCTION("IMPORTRANGE(""https://docs.google.com/spreadsheets/d/1SX6NBoVAgQJ6U1MVXOaj8PK2l7WJ3RER9xtqwdhxkhw/edit?usp=sharing"",""ฉะเชิงเทรา!I519"")"),0)</f>
        <v>0</v>
      </c>
      <c r="J624" s="188">
        <f ca="1">IFERROR(__xludf.DUMMYFUNCTION("IMPORTRANGE(""https://docs.google.com/spreadsheets/d/1SX6NBoVAgQJ6U1MVXOaj8PK2l7WJ3RER9xtqwdhxkhw/edit?usp=sharing"",""ฉะเชิงเทรา!J519"")"),0)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IFERROR(__xludf.DUMMYFUNCTION("IMPORTRANGE(""https://docs.google.com/spreadsheets/d/1SX6NBoVAgQJ6U1MVXOaj8PK2l7WJ3RER9xtqwdhxkhw/edit?usp=sharing"",""ฉะเชิงเทรา!I520"")"),0)</f>
        <v>0</v>
      </c>
      <c r="J625" s="189">
        <f ca="1">IFERROR(__xludf.DUMMYFUNCTION("IMPORTRANGE(""https://docs.google.com/spreadsheets/d/1SX6NBoVAgQJ6U1MVXOaj8PK2l7WJ3RER9xtqwdhxkhw/edit?usp=sharing"",""ฉะเชิงเทรา!J520"")"),0)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IFERROR(__xludf.DUMMYFUNCTION("IMPORTRANGE(""https://docs.google.com/spreadsheets/d/1SX6NBoVAgQJ6U1MVXOaj8PK2l7WJ3RER9xtqwdhxkhw/edit?usp=sharing"",""ฉะเชิงเทรา!I521"")"),0)</f>
        <v>0</v>
      </c>
      <c r="J626" s="189">
        <f ca="1">IFERROR(__xludf.DUMMYFUNCTION("IMPORTRANGE(""https://docs.google.com/spreadsheets/d/1SX6NBoVAgQJ6U1MVXOaj8PK2l7WJ3RER9xtqwdhxkhw/edit?usp=sharing"",""ฉะเชิงเทรา!J521"")"),0)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2">
        <f ca="1">IFERROR(__xludf.DUMMYFUNCTION("IMPORTRANGE(""https://docs.google.com/spreadsheets/d/1SX6NBoVAgQJ6U1MVXOaj8PK2l7WJ3RER9xtqwdhxkhw/edit?usp=sharing"",""ฉะเชิงเทรา!J523"")"),3051781.74)</f>
        <v>3051781.74</v>
      </c>
      <c r="K628" s="343">
        <f t="shared" ref="K628:K635" ca="1" si="129">IF(I628&gt;0,J628*100/I628,0)</f>
        <v>79.431345517965028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IFERROR(__xludf.DUMMYFUNCTION("IMPORTRANGE(""https://docs.google.com/spreadsheets/d/1SX6NBoVAgQJ6U1MVXOaj8PK2l7WJ3RER9xtqwdhxkhw/edit?usp=sharing"",""ฉะเชิงเทรา!I524"")"),157)</f>
        <v>157</v>
      </c>
      <c r="J629" s="342">
        <f ca="1">IFERROR(__xludf.DUMMYFUNCTION("IMPORTRANGE(""https://docs.google.com/spreadsheets/d/1SX6NBoVAgQJ6U1MVXOaj8PK2l7WJ3RER9xtqwdhxkhw/edit?usp=sharing"",""ฉะเชิงเทรา!J524"")"),159)</f>
        <v>159</v>
      </c>
      <c r="K629" s="343">
        <f t="shared" ca="1" si="129"/>
        <v>101.27388535031847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2">
        <f ca="1">IFERROR(__xludf.DUMMYFUNCTION("IMPORTRANGE(""https://docs.google.com/spreadsheets/d/1SX6NBoVAgQJ6U1MVXOaj8PK2l7WJ3RER9xtqwdhxkhw/edit?usp=sharing"",""ฉะเชิงเทรา!J525"")"),993657.35)</f>
        <v>993657.35</v>
      </c>
      <c r="K630" s="343">
        <f t="shared" ca="1" si="129"/>
        <v>9.5412003820957239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IFERROR(__xludf.DUMMYFUNCTION("IMPORTRANGE(""https://docs.google.com/spreadsheets/d/1SX6NBoVAgQJ6U1MVXOaj8PK2l7WJ3RER9xtqwdhxkhw/edit?usp=sharing"",""ฉะเชิงเทรา!I526"")"),275)</f>
        <v>275</v>
      </c>
      <c r="J631" s="342">
        <f ca="1">IFERROR(__xludf.DUMMYFUNCTION("IMPORTRANGE(""https://docs.google.com/spreadsheets/d/1SX6NBoVAgQJ6U1MVXOaj8PK2l7WJ3RER9xtqwdhxkhw/edit?usp=sharing"",""ฉะเชิงเทรา!J526"")"),104)</f>
        <v>104</v>
      </c>
      <c r="K631" s="343">
        <f t="shared" ca="1" si="129"/>
        <v>37.81818181818182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2">
        <f ca="1">IFERROR(__xludf.DUMMYFUNCTION("IMPORTRANGE(""https://docs.google.com/spreadsheets/d/1SX6NBoVAgQJ6U1MVXOaj8PK2l7WJ3RER9xtqwdhxkhw/edit?usp=sharing"",""ฉะเชิงเทรา!J527"")"),2980980.91)</f>
        <v>2980980.91</v>
      </c>
      <c r="K632" s="343">
        <f t="shared" ca="1" si="129"/>
        <v>52.610231804354193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IFERROR(__xludf.DUMMYFUNCTION("IMPORTRANGE(""https://docs.google.com/spreadsheets/d/1SX6NBoVAgQJ6U1MVXOaj8PK2l7WJ3RER9xtqwdhxkhw/edit?usp=sharing"",""ฉะเชิงเทรา!I528"")"),2632)</f>
        <v>2632</v>
      </c>
      <c r="J633" s="342">
        <f ca="1">IFERROR(__xludf.DUMMYFUNCTION("IMPORTRANGE(""https://docs.google.com/spreadsheets/d/1SX6NBoVAgQJ6U1MVXOaj8PK2l7WJ3RER9xtqwdhxkhw/edit?usp=sharing"",""ฉะเชิงเทรา!J528"")"),1906)</f>
        <v>1906</v>
      </c>
      <c r="K633" s="343">
        <f t="shared" ca="1" si="129"/>
        <v>72.416413373860181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2">
        <f ca="1">IFERROR(__xludf.DUMMYFUNCTION("IMPORTRANGE(""https://docs.google.com/spreadsheets/d/1SX6NBoVAgQJ6U1MVXOaj8PK2l7WJ3RER9xtqwdhxkhw/edit?usp=sharing"",""ฉะเชิงเทรา!J529"")"),3000000)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IFERROR(__xludf.DUMMYFUNCTION("IMPORTRANGE(""https://docs.google.com/spreadsheets/d/1SX6NBoVAgQJ6U1MVXOaj8PK2l7WJ3RER9xtqwdhxkhw/edit?usp=sharing"",""ฉะเชิงเทรา!I530"")"),100)</f>
        <v>100</v>
      </c>
      <c r="J635" s="505">
        <f ca="1">IFERROR(__xludf.DUMMYFUNCTION("IMPORTRANGE(""https://docs.google.com/spreadsheets/d/1SX6NBoVAgQJ6U1MVXOaj8PK2l7WJ3RER9xtqwdhxkhw/edit?usp=sharing"",""ฉะเชิงเทรา!J530"")"),100)</f>
        <v>100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61080</v>
      </c>
      <c r="M636" s="512"/>
      <c r="N636" s="511">
        <f ca="1">SUM(N637:N638)</f>
        <v>13570</v>
      </c>
      <c r="O636" s="511">
        <f t="shared" ref="O636:O640" ca="1" si="130">+IF(L636&gt;0,N636*100/L636,0)</f>
        <v>22.216764898493778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61080</v>
      </c>
      <c r="M638" s="522"/>
      <c r="N638" s="523">
        <f ca="1">SUM(N639:N640)</f>
        <v>13570</v>
      </c>
      <c r="O638" s="523">
        <f t="shared" ca="1" si="130"/>
        <v>22.216764898493778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61080</v>
      </c>
      <c r="M640" s="522"/>
      <c r="N640" s="523">
        <f ca="1">SUM(N641:N644)</f>
        <v>13570</v>
      </c>
      <c r="O640" s="523">
        <f t="shared" ca="1" si="130"/>
        <v>22.216764898493778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13570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IFERROR(__xludf.DUMMYFUNCTION("IMPORTRANGE(""https://docs.google.com/spreadsheets/d/1SX6NBoVAgQJ6U1MVXOaj8PK2l7WJ3RER9xtqwdhxkhw/edit#gid=346597447"",""ฉะเชิงเทรา!J541"")"),0)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IFERROR(__xludf.DUMMYFUNCTION("IMPORTRANGE(""https://docs.google.com/spreadsheets/d/1SX6NBoVAgQJ6U1MVXOaj8PK2l7WJ3RER9xtqwdhxkhw/edit#gid=346597447"",""ฉะเชิงเทรา!J542"")"),0)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IFERROR(__xludf.DUMMYFUNCTION("IMPORTRANGE(""https://docs.google.com/spreadsheets/d/1SX6NBoVAgQJ6U1MVXOaj8PK2l7WJ3RER9xtqwdhxkhw/edit#gid=346597447"",""ฉะเชิงเทรา!I543"")"),0)</f>
        <v>0</v>
      </c>
      <c r="J648" s="537">
        <f ca="1">IFERROR(__xludf.DUMMYFUNCTION("IMPORTRANGE(""https://docs.google.com/spreadsheets/d/1SX6NBoVAgQJ6U1MVXOaj8PK2l7WJ3RER9xtqwdhxkhw/edit#gid=346597447"",""ฉะเชิงเทรา!J543"")"),0)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IFERROR(__xludf.DUMMYFUNCTION("IMPORTRANGE(""https://docs.google.com/spreadsheets/d/1SX6NBoVAgQJ6U1MVXOaj8PK2l7WJ3RER9xtqwdhxkhw/edit#gid=346597447"",""ฉะเชิงเทรา!L543"")"),0)</f>
        <v>0</v>
      </c>
      <c r="M648" s="522"/>
      <c r="N648" s="539">
        <f ca="1">IFERROR(__xludf.DUMMYFUNCTION("IMPORTRANGE(""https://docs.google.com/spreadsheets/d/1SX6NBoVAgQJ6U1MVXOaj8PK2l7WJ3RER9xtqwdhxkhw/edit#gid=346597447"",""ฉะเชิงเทรา!M543"")"),0)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IFERROR(__xludf.DUMMYFUNCTION("IMPORTRANGE(""https://docs.google.com/spreadsheets/d/1SX6NBoVAgQJ6U1MVXOaj8PK2l7WJ3RER9xtqwdhxkhw/edit#gid=346597447"",""ฉะเชิงเทรา!I544"")"),20)</f>
        <v>20</v>
      </c>
      <c r="J649" s="537">
        <f ca="1">IFERROR(__xludf.DUMMYFUNCTION("IMPORTRANGE(""https://docs.google.com/spreadsheets/d/1SX6NBoVAgQJ6U1MVXOaj8PK2l7WJ3RER9xtqwdhxkhw/edit#gid=346597447"",""ฉะเชิงเทรา!J544"")"),2)</f>
        <v>2</v>
      </c>
      <c r="K649" s="538">
        <f t="shared" ca="1" si="131"/>
        <v>10</v>
      </c>
      <c r="L649" s="523">
        <f ca="1">IFERROR(__xludf.DUMMYFUNCTION("IMPORTRANGE(""https://docs.google.com/spreadsheets/d/1SX6NBoVAgQJ6U1MVXOaj8PK2l7WJ3RER9xtqwdhxkhw/edit#gid=346597447"",""ฉะเชิงเทรา!L544"")"),2400)</f>
        <v>2400</v>
      </c>
      <c r="M649" s="522"/>
      <c r="N649" s="539">
        <f ca="1">IFERROR(__xludf.DUMMYFUNCTION("IMPORTRANGE(""https://docs.google.com/spreadsheets/d/1SX6NBoVAgQJ6U1MVXOaj8PK2l7WJ3RER9xtqwdhxkhw/edit#gid=346597447"",""ฉะเชิงเทรา!M544"")"),0)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IFERROR(__xludf.DUMMYFUNCTION("IMPORTRANGE(""https://docs.google.com/spreadsheets/d/1SX6NBoVAgQJ6U1MVXOaj8PK2l7WJ3RER9xtqwdhxkhw/edit#gid=346597447"",""ฉะเชิงเทรา!I545"")"),698)</f>
        <v>698</v>
      </c>
      <c r="J650" s="537">
        <f ca="1">IFERROR(__xludf.DUMMYFUNCTION("IMPORTRANGE(""https://docs.google.com/spreadsheets/d/1SX6NBoVAgQJ6U1MVXOaj8PK2l7WJ3RER9xtqwdhxkhw/edit#gid=346597447"",""ฉะเชิงเทรา!J545"")"),740.63)</f>
        <v>740.63</v>
      </c>
      <c r="K650" s="538">
        <f t="shared" ca="1" si="131"/>
        <v>106.10744985673352</v>
      </c>
      <c r="L650" s="523">
        <f ca="1">IFERROR(__xludf.DUMMYFUNCTION("IMPORTRANGE(""https://docs.google.com/spreadsheets/d/1SX6NBoVAgQJ6U1MVXOaj8PK2l7WJ3RER9xtqwdhxkhw/edit#gid=346597447"",""ฉะเชิงเทรา!L545"")"),3490)</f>
        <v>3490</v>
      </c>
      <c r="M650" s="522"/>
      <c r="N650" s="539">
        <f ca="1">IFERROR(__xludf.DUMMYFUNCTION("IMPORTRANGE(""https://docs.google.com/spreadsheets/d/1SX6NBoVAgQJ6U1MVXOaj8PK2l7WJ3RER9xtqwdhxkhw/edit#gid=346597447"",""ฉะเชิงเทรา!M545"")"),3490)</f>
        <v>3490</v>
      </c>
      <c r="O650" s="538">
        <f t="shared" ca="1" si="132"/>
        <v>100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IFERROR(__xludf.DUMMYFUNCTION("IMPORTRANGE(""https://docs.google.com/spreadsheets/d/1SX6NBoVAgQJ6U1MVXOaj8PK2l7WJ3RER9xtqwdhxkhw/edit#gid=346597447"",""ฉะเชิงเทรา!I546"")"),150)</f>
        <v>150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IFERROR(__xludf.DUMMYFUNCTION("IMPORTRANGE(""https://docs.google.com/spreadsheets/d/1SX6NBoVAgQJ6U1MVXOaj8PK2l7WJ3RER9xtqwdhxkhw/edit#gid=346597447"",""ฉะเชิงเทรา!L546"")"),3750)</f>
        <v>3750</v>
      </c>
      <c r="M651" s="522"/>
      <c r="N651" s="561"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IFERROR(__xludf.DUMMYFUNCTION("IMPORTRANGE(""https://docs.google.com/spreadsheets/d/1SX6NBoVAgQJ6U1MVXOaj8PK2l7WJ3RER9xtqwdhxkhw/edit#gid=346597447"",""ฉะเชิงเทรา!J547"")"),0)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IFERROR(__xludf.DUMMYFUNCTION("IMPORTRANGE(""https://docs.google.com/spreadsheets/d/1SX6NBoVAgQJ6U1MVXOaj8PK2l7WJ3RER9xtqwdhxkhw/edit#gid=346597447"",""ฉะเชิงเทรา!J548"")"),0)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IFERROR(__xludf.DUMMYFUNCTION("IMPORTRANGE(""https://docs.google.com/spreadsheets/d/1SX6NBoVAgQJ6U1MVXOaj8PK2l7WJ3RER9xtqwdhxkhw/edit#gid=346597447"",""ฉะเชิงเทรา!J550"")"),0)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IFERROR(__xludf.DUMMYFUNCTION("IMPORTRANGE(""https://docs.google.com/spreadsheets/d/1SX6NBoVAgQJ6U1MVXOaj8PK2l7WJ3RER9xtqwdhxkhw/edit#gid=346597447"",""ฉะเชิงเทรา!J551"")"),0)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IFERROR(__xludf.DUMMYFUNCTION("IMPORTRANGE(""https://docs.google.com/spreadsheets/d/1SX6NBoVAgQJ6U1MVXOaj8PK2l7WJ3RER9xtqwdhxkhw/edit#gid=346597447"",""ฉะเชิงเทรา!J552"")"),0)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IFERROR(__xludf.DUMMYFUNCTION("IMPORTRANGE(""https://docs.google.com/spreadsheets/d/1SX6NBoVAgQJ6U1MVXOaj8PK2l7WJ3RER9xtqwdhxkhw/edit#gid=346597447"",""ฉะเชิงเทรา!J553"")"),0)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IFERROR(__xludf.DUMMYFUNCTION("IMPORTRANGE(""https://docs.google.com/spreadsheets/d/1SX6NBoVAgQJ6U1MVXOaj8PK2l7WJ3RER9xtqwdhxkhw/edit#gid=346597447"",""ฉะเชิงเทรา!J554"")"),0)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IFERROR(__xludf.DUMMYFUNCTION("IMPORTRANGE(""https://docs.google.com/spreadsheets/d/1SX6NBoVAgQJ6U1MVXOaj8PK2l7WJ3RER9xtqwdhxkhw/edit#gid=346597447"",""ฉะเชิงเทรา!J555"")"),0)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IFERROR(__xludf.DUMMYFUNCTION("IMPORTRANGE(""https://docs.google.com/spreadsheets/d/1SX6NBoVAgQJ6U1MVXOaj8PK2l7WJ3RER9xtqwdhxkhw/edit#gid=346597447"",""ฉะเชิงเทรา!J556"")"),0)</f>
        <v>0</v>
      </c>
      <c r="K661" s="538"/>
      <c r="L661" s="523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2"/>
      <c r="N661" s="539">
        <f ca="1">IFERROR(__xludf.DUMMYFUNCTION("IMPORTRANGE(""https://docs.google.com/spreadsheets/d/1SX6NBoVAgQJ6U1MVXOaj8PK2l7WJ3RER9xtqwdhxkhw/edit#gid=346597447"",""ฉะเชิงเทรา!M556"")"),0)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IFERROR(__xludf.DUMMYFUNCTION("IMPORTRANGE(""https://docs.google.com/spreadsheets/d/1SX6NBoVAgQJ6U1MVXOaj8PK2l7WJ3RER9xtqwdhxkhw/edit#gid=346597447"",""ฉะเชิงเทรา!J557"")"),0)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IFERROR(__xludf.DUMMYFUNCTION("IMPORTRANGE(""https://docs.google.com/spreadsheets/d/1SX6NBoVAgQJ6U1MVXOaj8PK2l7WJ3RER9xtqwdhxkhw/edit#gid=346597447"",""ฉะเชิงเทรา!I558"")"),762)</f>
        <v>762</v>
      </c>
      <c r="J663" s="537">
        <f ca="1">IFERROR(__xludf.DUMMYFUNCTION("IMPORTRANGE(""https://docs.google.com/spreadsheets/d/1SX6NBoVAgQJ6U1MVXOaj8PK2l7WJ3RER9xtqwdhxkhw/edit#gid=346597447"",""ฉะเชิงเทรา!J558"")"),0)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IFERROR(__xludf.DUMMYFUNCTION("IMPORTRANGE(""https://docs.google.com/spreadsheets/d/1SX6NBoVAgQJ6U1MVXOaj8PK2l7WJ3RER9xtqwdhxkhw/edit#gid=346597447"",""ฉะเชิงเทรา!I560"")"),32)</f>
        <v>32</v>
      </c>
      <c r="J665" s="537">
        <f ca="1">IFERROR(__xludf.DUMMYFUNCTION("IMPORTRANGE(""https://docs.google.com/spreadsheets/d/1SX6NBoVAgQJ6U1MVXOaj8PK2l7WJ3RER9xtqwdhxkhw/edit#gid=346597447"",""ฉะเชิงเทรา!J560"")"),0)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IFERROR(__xludf.DUMMYFUNCTION("IMPORTRANGE(""https://docs.google.com/spreadsheets/d/1SX6NBoVAgQJ6U1MVXOaj8PK2l7WJ3RER9xtqwdhxkhw/edit#gid=346597447"",""ฉะเชิงเทรา!L560"")"),3840)</f>
        <v>3840</v>
      </c>
      <c r="M665" s="522"/>
      <c r="N665" s="539">
        <f ca="1">IFERROR(__xludf.DUMMYFUNCTION("IMPORTRANGE(""https://docs.google.com/spreadsheets/d/1SX6NBoVAgQJ6U1MVXOaj8PK2l7WJ3RER9xtqwdhxkhw/edit#gid=346597447"",""ฉะเชิงเทรา!M560"")"),3840)</f>
        <v>3840</v>
      </c>
      <c r="O665" s="538">
        <f ca="1">IF(L665&gt;0,N665*100/L665,0)</f>
        <v>100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IFERROR(__xludf.DUMMYFUNCTION("IMPORTRANGE(""https://docs.google.com/spreadsheets/d/1SX6NBoVAgQJ6U1MVXOaj8PK2l7WJ3RER9xtqwdhxkhw/edit#gid=346597447"",""ฉะเชิงเทรา!J561"")"),0)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IFERROR(__xludf.DUMMYFUNCTION("IMPORTRANGE(""https://docs.google.com/spreadsheets/d/1SX6NBoVAgQJ6U1MVXOaj8PK2l7WJ3RER9xtqwdhxkhw/edit#gid=346597447"",""ฉะเชิงเทรา!J562"")"),0)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IFERROR(__xludf.DUMMYFUNCTION("IMPORTRANGE(""https://docs.google.com/spreadsheets/d/1SX6NBoVAgQJ6U1MVXOaj8PK2l7WJ3RER9xtqwdhxkhw/edit#gid=346597447"",""ฉะเชิงเทรา!I563"")"),4)</f>
        <v>4</v>
      </c>
      <c r="J668" s="537">
        <f ca="1">IFERROR(__xludf.DUMMYFUNCTION("IMPORTRANGE(""https://docs.google.com/spreadsheets/d/1SX6NBoVAgQJ6U1MVXOaj8PK2l7WJ3RER9xtqwdhxkhw/edit#gid=346597447"",""ฉะเชิงเทรา!J563"")"),0)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IFERROR(__xludf.DUMMYFUNCTION("IMPORTRANGE(""https://docs.google.com/spreadsheets/d/1SX6NBoVAgQJ6U1MVXOaj8PK2l7WJ3RER9xtqwdhxkhw/edit#gid=346597447"",""ฉะเชิงเทรา!L563"")"),6240)</f>
        <v>6240</v>
      </c>
      <c r="M668" s="522"/>
      <c r="N668" s="539">
        <f ca="1">IFERROR(__xludf.DUMMYFUNCTION("IMPORTRANGE(""https://docs.google.com/spreadsheets/d/1SX6NBoVAgQJ6U1MVXOaj8PK2l7WJ3RER9xtqwdhxkhw/edit#gid=346597447"",""ฉะเชิงเทรา!M563"")"),6240)</f>
        <v>6240</v>
      </c>
      <c r="O668" s="538">
        <f ca="1">IF(L668&gt;0,N668*100/L668,0)</f>
        <v>100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IFERROR(__xludf.DUMMYFUNCTION("IMPORTRANGE(""https://docs.google.com/spreadsheets/d/1SX6NBoVAgQJ6U1MVXOaj8PK2l7WJ3RER9xtqwdhxkhw/edit#gid=346597447"",""ฉะเชิงเทรา!J564"")"),0)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IFERROR(__xludf.DUMMYFUNCTION("IMPORTRANGE(""https://docs.google.com/spreadsheets/d/1SX6NBoVAgQJ6U1MVXOaj8PK2l7WJ3RER9xtqwdhxkhw/edit#gid=346597447"",""ฉะเชิงเทรา!J565"")"),0)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IFERROR(__xludf.DUMMYFUNCTION("IMPORTRANGE(""https://docs.google.com/spreadsheets/d/1SX6NBoVAgQJ6U1MVXOaj8PK2l7WJ3RER9xtqwdhxkhw/edit#gid=346597447"",""ฉะเชิงเทรา!I566"")"),136)</f>
        <v>136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2"/>
      <c r="N671" s="539">
        <f ca="1">IFERROR(__xludf.DUMMYFUNCTION("IMPORTRANGE(""https://docs.google.com/spreadsheets/d/1SX6NBoVAgQJ6U1MVXOaj8PK2l7WJ3RER9xtqwdhxkhw/edit#gid=346597447"",""ฉะเชิงเทรา!M566"")"),0)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IFERROR(__xludf.DUMMYFUNCTION("IMPORTRANGE(""https://docs.google.com/spreadsheets/d/1SX6NBoVAgQJ6U1MVXOaj8PK2l7WJ3RER9xtqwdhxkhw/edit#gid=346597447"",""ฉะเชิงเทรา!J567"")"),0)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IFERROR(__xludf.DUMMYFUNCTION("IMPORTRANGE(""https://docs.google.com/spreadsheets/d/1SX6NBoVAgQJ6U1MVXOaj8PK2l7WJ3RER9xtqwdhxkhw/edit#gid=346597447"",""ฉะเชิงเทรา!J568"")"),0)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IFERROR(__xludf.DUMMYFUNCTION("IMPORTRANGE(""https://docs.google.com/spreadsheets/d/1SX6NBoVAgQJ6U1MVXOaj8PK2l7WJ3RER9xtqwdhxkhw/edit#gid=346597447"",""ฉะเชิงเทรา!J569"")"),0)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IFERROR(__xludf.DUMMYFUNCTION("IMPORTRANGE(""https://docs.google.com/spreadsheets/d/1SX6NBoVAgQJ6U1MVXOaj8PK2l7WJ3RER9xtqwdhxkhw/edit#gid=346597447"",""ฉะเชิงเทรา!J570"")"),0)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IFERROR(__xludf.DUMMYFUNCTION("IMPORTRANGE(""https://docs.google.com/spreadsheets/d/1SX6NBoVAgQJ6U1MVXOaj8PK2l7WJ3RER9xtqwdhxkhw/edit#gid=346597447"",""ฉะเชิงเทรา!J571"")"),0)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IFERROR(__xludf.DUMMYFUNCTION("IMPORTRANGE(""https://docs.google.com/spreadsheets/d/1SX6NBoVAgQJ6U1MVXOaj8PK2l7WJ3RER9xtqwdhxkhw/edit#gid=346597447"",""ฉะเชิงเทรา!J572"")"),0)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266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5477995</v>
      </c>
      <c r="M8" s="23">
        <f t="shared" ca="1" si="0"/>
        <v>3840951</v>
      </c>
      <c r="N8" s="23">
        <f t="shared" ca="1" si="0"/>
        <v>3819736.3</v>
      </c>
      <c r="O8" s="22">
        <f t="shared" ref="O8:O16" ca="1" si="1">IF(L8&gt;0,N8*100/L8,0)</f>
        <v>69.728729215707574</v>
      </c>
      <c r="P8" s="22">
        <f t="shared" ref="P8:P16" ca="1" si="2">IF(M8&gt;0,N8*100/M8,0)</f>
        <v>99.447670641984232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5477995</v>
      </c>
      <c r="M10" s="30">
        <f t="shared" ca="1" si="4"/>
        <v>3840951</v>
      </c>
      <c r="N10" s="30">
        <f t="shared" ca="1" si="4"/>
        <v>3819736.3</v>
      </c>
      <c r="O10" s="29">
        <f t="shared" ca="1" si="1"/>
        <v>69.728729215707574</v>
      </c>
      <c r="P10" s="29">
        <f t="shared" ca="1" si="2"/>
        <v>99.447670641984232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4988595</v>
      </c>
      <c r="M12" s="38">
        <f t="shared" ca="1" si="6"/>
        <v>3351551</v>
      </c>
      <c r="N12" s="38">
        <f t="shared" ca="1" si="6"/>
        <v>3333336.3</v>
      </c>
      <c r="O12" s="38">
        <f t="shared" ca="1" si="1"/>
        <v>66.819140459387867</v>
      </c>
      <c r="P12" s="38">
        <f t="shared" ca="1" si="2"/>
        <v>99.456529230794942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1866100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3122495</v>
      </c>
      <c r="M14" s="38">
        <f t="shared" si="8"/>
        <v>0</v>
      </c>
      <c r="N14" s="38">
        <f t="shared" ca="1" si="8"/>
        <v>578385.74</v>
      </c>
      <c r="O14" s="38">
        <f t="shared" ca="1" si="1"/>
        <v>18.523191870603476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489400</v>
      </c>
      <c r="M16" s="38">
        <f t="shared" ca="1" si="10"/>
        <v>489400</v>
      </c>
      <c r="N16" s="38">
        <f t="shared" ca="1" si="10"/>
        <v>486400</v>
      </c>
      <c r="O16" s="49">
        <f t="shared" ca="1" si="1"/>
        <v>99.387004495300374</v>
      </c>
      <c r="P16" s="49">
        <f t="shared" ca="1" si="2"/>
        <v>99.387004495300374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3805960</v>
      </c>
      <c r="M18" s="23">
        <f t="shared" ca="1" si="11"/>
        <v>3840951</v>
      </c>
      <c r="N18" s="23">
        <f t="shared" ca="1" si="11"/>
        <v>3241350.56</v>
      </c>
      <c r="O18" s="22">
        <f t="shared" ref="O18:O20" ca="1" si="12">IF(L18&gt;0,N18*100/L18,0)</f>
        <v>85.165124173664466</v>
      </c>
      <c r="P18" s="22">
        <f t="shared" ref="P18:P26" ca="1" si="13">IF(M18&gt;0,N18*100/M18,0)</f>
        <v>84.389271302862227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3805960</v>
      </c>
      <c r="M20" s="30">
        <f t="shared" ca="1" si="15"/>
        <v>3840951</v>
      </c>
      <c r="N20" s="30">
        <f t="shared" ca="1" si="15"/>
        <v>3241350.56</v>
      </c>
      <c r="O20" s="29">
        <f t="shared" ca="1" si="12"/>
        <v>85.165124173664466</v>
      </c>
      <c r="P20" s="29">
        <f t="shared" ca="1" si="13"/>
        <v>84.389271302862227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3316560</v>
      </c>
      <c r="M22" s="41">
        <f t="shared" ca="1" si="18"/>
        <v>3351551</v>
      </c>
      <c r="N22" s="38">
        <f t="shared" ca="1" si="18"/>
        <v>2754950.56</v>
      </c>
      <c r="O22" s="38">
        <f t="shared" ca="1" si="17"/>
        <v>83.06650746556673</v>
      </c>
      <c r="P22" s="38">
        <f t="shared" ca="1" si="13"/>
        <v>82.199273112657394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1866100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1450460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489400</v>
      </c>
      <c r="M26" s="49">
        <f t="shared" ca="1" si="22"/>
        <v>489400</v>
      </c>
      <c r="N26" s="49">
        <f t="shared" ca="1" si="22"/>
        <v>486400</v>
      </c>
      <c r="O26" s="49">
        <f t="shared" ca="1" si="17"/>
        <v>99.387004495300374</v>
      </c>
      <c r="P26" s="49">
        <f t="shared" ca="1" si="13"/>
        <v>99.387004495300374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1672035</v>
      </c>
      <c r="M28" s="23">
        <f t="shared" si="23"/>
        <v>0</v>
      </c>
      <c r="N28" s="23">
        <f t="shared" ca="1" si="23"/>
        <v>578385.74</v>
      </c>
      <c r="O28" s="22">
        <f t="shared" ref="O28:O30" ca="1" si="24">IF(L28&gt;0,N28*100/L28,0)</f>
        <v>34.591724455528741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1672035</v>
      </c>
      <c r="M30" s="30">
        <f t="shared" si="27"/>
        <v>0</v>
      </c>
      <c r="N30" s="30">
        <f t="shared" ca="1" si="27"/>
        <v>578385.74</v>
      </c>
      <c r="O30" s="29">
        <f t="shared" ca="1" si="24"/>
        <v>34.591724455528741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1672035</v>
      </c>
      <c r="M32" s="38">
        <f t="shared" si="30"/>
        <v>0</v>
      </c>
      <c r="N32" s="38">
        <f t="shared" ca="1" si="30"/>
        <v>578385.74</v>
      </c>
      <c r="O32" s="38">
        <f t="shared" ca="1" si="29"/>
        <v>34.591724455528741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1672035</v>
      </c>
      <c r="M34" s="38">
        <f t="shared" si="32"/>
        <v>0</v>
      </c>
      <c r="N34" s="38">
        <f t="shared" ca="1" si="32"/>
        <v>578385.74</v>
      </c>
      <c r="O34" s="38">
        <f t="shared" ca="1" si="29"/>
        <v>34.591724455528741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3805960</v>
      </c>
      <c r="M37" s="54">
        <f t="shared" ca="1" si="33"/>
        <v>3840951</v>
      </c>
      <c r="N37" s="54">
        <f t="shared" ca="1" si="33"/>
        <v>3241350.56</v>
      </c>
      <c r="O37" s="55">
        <f t="shared" ca="1" si="29"/>
        <v>85.165124173664466</v>
      </c>
      <c r="P37" s="55">
        <f t="shared" ca="1" si="25"/>
        <v>84.389271302862227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1074100</v>
      </c>
      <c r="M41" s="78">
        <f t="shared" ca="1" si="34"/>
        <v>1074100</v>
      </c>
      <c r="N41" s="78">
        <f t="shared" ca="1" si="34"/>
        <v>974311.76</v>
      </c>
      <c r="O41" s="77">
        <f t="shared" ref="O41:O43" ca="1" si="35">IF(L41&gt;0,N41*100/L41,0)</f>
        <v>90.709595009775626</v>
      </c>
      <c r="P41" s="77">
        <f t="shared" ref="P41:P43" ca="1" si="36">IF(M41&gt;0,N41*100/M41,0)</f>
        <v>90.709595009775626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1074100</v>
      </c>
      <c r="M43" s="78">
        <f t="shared" ca="1" si="38"/>
        <v>1074100</v>
      </c>
      <c r="N43" s="78">
        <f t="shared" ca="1" si="38"/>
        <v>974311.76</v>
      </c>
      <c r="O43" s="77">
        <f t="shared" ca="1" si="35"/>
        <v>90.709595009775626</v>
      </c>
      <c r="P43" s="77">
        <f t="shared" ca="1" si="36"/>
        <v>90.709595009775626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704100</v>
      </c>
      <c r="M45" s="49">
        <f ca="1">IFERROR(__xludf.DUMMYFUNCTION("IMPORTRANGE(""https://docs.google.com/spreadsheets/d/1Yj_ptqi66GCucihVvJfMjLAmec39IyEx_6qawtMGysU/edit?usp=sharing"",""สบก!Q62"")"),704100)</f>
        <v>704100</v>
      </c>
      <c r="N45" s="49">
        <f ca="1">IFERROR(__xludf.DUMMYFUNCTION("IMPORTRANGE(""https://docs.google.com/spreadsheets/d/1Yj_ptqi66GCucihVvJfMjLAmec39IyEx_6qawtMGysU/edit?usp=sharing"",""สบก!R62"")"),607311.76)</f>
        <v>607311.76</v>
      </c>
      <c r="O45" s="38">
        <f ca="1">IF(L45&gt;0,N45*100/L45,0)</f>
        <v>86.253623064905554</v>
      </c>
      <c r="P45" s="38">
        <f ca="1">IF(M45&gt;0,N45*100/M45,0)</f>
        <v>86.253623064905554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IFERROR(__xludf.DUMMYFUNCTION("IMPORTRANGE(""https://docs.google.com/spreadsheets/d/1Yj_ptqi66GCucihVvJfMjLAmec39IyEx_6qawtMGysU/edit?usp=sharing"",""สบก!M62"")"),704100)</f>
        <v>704100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IFERROR(__xludf.DUMMYFUNCTION("IMPORTRANGE(""https://docs.google.com/spreadsheets/d/1Yj_ptqi66GCucihVvJfMjLAmec39IyEx_6qawtMGysU/edit?usp=sharing"",""สบก!O62"")"),370000)</f>
        <v>370000</v>
      </c>
      <c r="M49" s="49">
        <f ca="1">L49</f>
        <v>370000</v>
      </c>
      <c r="N49" s="49">
        <f ca="1">IFERROR(__xludf.DUMMYFUNCTION("IMPORTRANGE(""https://docs.google.com/spreadsheets/d/1Yj_ptqi66GCucihVvJfMjLAmec39IyEx_6qawtMGysU/edit?usp=sharing"",""สบก!S62"")"),367000)</f>
        <v>367000</v>
      </c>
      <c r="O49" s="49">
        <f ca="1">IF(L49&gt;0,N49*100/L49,0)</f>
        <v>99.189189189189193</v>
      </c>
      <c r="P49" s="49">
        <f ca="1">IF(M49&gt;0,N49*100/M49,0)</f>
        <v>99.189189189189193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560000</v>
      </c>
      <c r="M53" s="121">
        <f t="shared" ca="1" si="39"/>
        <v>574581</v>
      </c>
      <c r="N53" s="121">
        <f t="shared" ca="1" si="39"/>
        <v>480015.55</v>
      </c>
      <c r="O53" s="120">
        <f t="shared" ref="O53:O55" ca="1" si="40">IF(L53&gt;0,N53*100/L53,0)</f>
        <v>85.717062499999997</v>
      </c>
      <c r="P53" s="120">
        <f t="shared" ref="P53:P55" ca="1" si="41">IF(M53&gt;0,N53*100/M53,0)</f>
        <v>83.541841794281396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560000</v>
      </c>
      <c r="M55" s="121">
        <f t="shared" ca="1" si="43"/>
        <v>574581</v>
      </c>
      <c r="N55" s="121">
        <f t="shared" ca="1" si="43"/>
        <v>480015.55</v>
      </c>
      <c r="O55" s="120">
        <f t="shared" ca="1" si="40"/>
        <v>85.717062499999997</v>
      </c>
      <c r="P55" s="120">
        <f t="shared" ca="1" si="41"/>
        <v>83.541841794281396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560000</v>
      </c>
      <c r="M57" s="49">
        <f ca="1">IFERROR(__xludf.DUMMYFUNCTION("IMPORTRANGE(""https://docs.google.com/spreadsheets/d/1Yj_ptqi66GCucihVvJfMjLAmec39IyEx_6qawtMGysU/edit?usp=sharing"",""สบก!Z62"")"),574581)</f>
        <v>574581</v>
      </c>
      <c r="N57" s="49">
        <f ca="1">IFERROR(__xludf.DUMMYFUNCTION("IMPORTRANGE(""https://docs.google.com/spreadsheets/d/1Yj_ptqi66GCucihVvJfMjLAmec39IyEx_6qawtMGysU/edit?usp=sharing"",""สบก!AA62"")"),480015.55)</f>
        <v>480015.55</v>
      </c>
      <c r="O57" s="38">
        <f ca="1">IF(L57&gt;0,N57*100/L57,0)</f>
        <v>85.717062499999997</v>
      </c>
      <c r="P57" s="38">
        <f ca="1">IF(M57&gt;0,N57*100/M57,0)</f>
        <v>83.541841794281396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IFERROR(__xludf.DUMMYFUNCTION("IMPORTRANGE(""https://docs.google.com/spreadsheets/d/1Yj_ptqi66GCucihVvJfMjLAmec39IyEx_6qawtMGysU/edit?usp=sharing"",""สบก!V62"")"),560000)</f>
        <v>560000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IFERROR(__xludf.DUMMYFUNCTION("IMPORTRANGE(""https://docs.google.com/spreadsheets/d/1Yj_ptqi66GCucihVvJfMjLAmec39IyEx_6qawtMGysU/edit?usp=sharing"",""สบก!X62"")"),0)</f>
        <v>0</v>
      </c>
      <c r="M61" s="49"/>
      <c r="N61" s="49">
        <f ca="1">IFERROR(__xludf.DUMMYFUNCTION("IMPORTRANGE(""https://docs.google.com/spreadsheets/d/1Yj_ptqi66GCucihVvJfMjLAmec39IyEx_6qawtMGysU/edit?usp=sharing"",""สบก!AB62"")"),0)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IFERROR(__xludf.DUMMYFUNCTION("IMPORTRANGE(""https://docs.google.com/spreadsheets/d/1SX6NBoVAgQJ6U1MVXOaj8PK2l7WJ3RER9xtqwdhxkhw/edit?usp=sharing"",""ชลบุรี!I9"")"),0)</f>
        <v>0</v>
      </c>
      <c r="J64" s="142">
        <f ca="1">IFERROR(__xludf.DUMMYFUNCTION("IMPORTRANGE(""https://docs.google.com/spreadsheets/d/1SX6NBoVAgQJ6U1MVXOaj8PK2l7WJ3RER9xtqwdhxkhw/edit?usp=sharing"",""ชลบุรี!J9"")"),0)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IFERROR(__xludf.DUMMYFUNCTION("IMPORTRANGE(""https://docs.google.com/spreadsheets/d/1SX6NBoVAgQJ6U1MVXOaj8PK2l7WJ3RER9xtqwdhxkhw/edit?usp=sharing"",""ชลบุรี!I10"")"),0)</f>
        <v>0</v>
      </c>
      <c r="J65" s="142">
        <f ca="1">IFERROR(__xludf.DUMMYFUNCTION("IMPORTRANGE(""https://docs.google.com/spreadsheets/d/1SX6NBoVAgQJ6U1MVXOaj8PK2l7WJ3RER9xtqwdhxkhw/edit?usp=sharing"",""ชลบุรี!J10"")"),0)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IFERROR(__xludf.DUMMYFUNCTION("IMPORTRANGE(""https://docs.google.com/spreadsheets/d/1Yj_ptqi66GCucihVvJfMjLAmec39IyEx_6qawtMGysU/edit?usp=sharing"",""สบก!AI62"")"),0)</f>
        <v>0</v>
      </c>
      <c r="N70" s="169">
        <f ca="1">IFERROR(__xludf.DUMMYFUNCTION("IMPORTRANGE(""https://docs.google.com/spreadsheets/d/1Yj_ptqi66GCucihVvJfMjLAmec39IyEx_6qawtMGysU/edit?usp=sharing"",""สบก!AJ62"")"),0)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IFERROR(__xludf.DUMMYFUNCTION("IMPORTRANGE(""https://docs.google.com/spreadsheets/d/1Yj_ptqi66GCucihVvJfMjLAmec39IyEx_6qawtMGysU/edit?usp=sharing"",""สบก!AG62"")"),0)</f>
        <v>0</v>
      </c>
      <c r="M74" s="49"/>
      <c r="N74" s="49">
        <f ca="1">IFERROR(__xludf.DUMMYFUNCTION("IMPORTRANGE(""https://docs.google.com/spreadsheets/d/1Yj_ptqi66GCucihVvJfMjLAmec39IyEx_6qawtMGysU/edit?usp=sharing"",""สบก!AK62"")"),0)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IFERROR(__xludf.DUMMYFUNCTION("IMPORTRANGE(""https://docs.google.com/spreadsheets/d/1SX6NBoVAgQJ6U1MVXOaj8PK2l7WJ3RER9xtqwdhxkhw/edit?usp=sharing"",""ชลบุรี!J16"")"),0)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IFERROR(__xludf.DUMMYFUNCTION("IMPORTRANGE(""https://docs.google.com/spreadsheets/d/1SX6NBoVAgQJ6U1MVXOaj8PK2l7WJ3RER9xtqwdhxkhw/edit?usp=sharing"",""ชลบุรี!J17"")"),0)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IFERROR(__xludf.DUMMYFUNCTION("IMPORTRANGE(""https://docs.google.com/spreadsheets/d/1SX6NBoVAgQJ6U1MVXOaj8PK2l7WJ3RER9xtqwdhxkhw/edit?usp=sharing"",""ชลบุรี!J18"")"),0)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IFERROR(__xludf.DUMMYFUNCTION("IMPORTRANGE(""https://docs.google.com/spreadsheets/d/1SX6NBoVAgQJ6U1MVXOaj8PK2l7WJ3RER9xtqwdhxkhw/edit?usp=sharing"",""ชลบุรี!J19"")"),0)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IFERROR(__xludf.DUMMYFUNCTION("IMPORTRANGE(""https://docs.google.com/spreadsheets/d/1SX6NBoVAgQJ6U1MVXOaj8PK2l7WJ3RER9xtqwdhxkhw/edit?usp=sharing"",""ชลบุรี!I20"")"),0)</f>
        <v>0</v>
      </c>
      <c r="J80" s="201">
        <f ca="1">IFERROR(__xludf.DUMMYFUNCTION("IMPORTRANGE(""https://docs.google.com/spreadsheets/d/1SX6NBoVAgQJ6U1MVXOaj8PK2l7WJ3RER9xtqwdhxkhw/edit?usp=sharing"",""ชลบุรี!J20"")"),0)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IFERROR(__xludf.DUMMYFUNCTION("IMPORTRANGE(""https://docs.google.com/spreadsheets/d/1SX6NBoVAgQJ6U1MVXOaj8PK2l7WJ3RER9xtqwdhxkhw/edit?usp=sharing"",""ชลบุรี!I21"")"),0)</f>
        <v>0</v>
      </c>
      <c r="J81" s="201">
        <f ca="1">IFERROR(__xludf.DUMMYFUNCTION("IMPORTRANGE(""https://docs.google.com/spreadsheets/d/1SX6NBoVAgQJ6U1MVXOaj8PK2l7WJ3RER9xtqwdhxkhw/edit?usp=sharing"",""ชลบุรี!J21"")"),0)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IFERROR(__xludf.DUMMYFUNCTION("IMPORTRANGE(""https://docs.google.com/spreadsheets/d/1SX6NBoVAgQJ6U1MVXOaj8PK2l7WJ3RER9xtqwdhxkhw/edit?usp=sharing"",""ชลบุรี!I22"")"),0)</f>
        <v>0</v>
      </c>
      <c r="J82" s="204">
        <f ca="1">IFERROR(__xludf.DUMMYFUNCTION("IMPORTRANGE(""https://docs.google.com/spreadsheets/d/1SX6NBoVAgQJ6U1MVXOaj8PK2l7WJ3RER9xtqwdhxkhw/edit?usp=sharing"",""ชลบุรี!J22"")"),0)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IFERROR(__xludf.DUMMYFUNCTION("IMPORTRANGE(""https://docs.google.com/spreadsheets/d/1SX6NBoVAgQJ6U1MVXOaj8PK2l7WJ3RER9xtqwdhxkhw/edit?usp=sharing"",""ชลบุรี!I23"")"),0)</f>
        <v>0</v>
      </c>
      <c r="J83" s="204">
        <f ca="1">IFERROR(__xludf.DUMMYFUNCTION("IMPORTRANGE(""https://docs.google.com/spreadsheets/d/1SX6NBoVAgQJ6U1MVXOaj8PK2l7WJ3RER9xtqwdhxkhw/edit?usp=sharing"",""ชลบุรี!J23"")"),0)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IFERROR(__xludf.DUMMYFUNCTION("IMPORTRANGE(""https://docs.google.com/spreadsheets/d/1SX6NBoVAgQJ6U1MVXOaj8PK2l7WJ3RER9xtqwdhxkhw/edit?usp=sharing"",""ชลบุรี!I24"")"),0)</f>
        <v>0</v>
      </c>
      <c r="J84" s="189">
        <f ca="1">IFERROR(__xludf.DUMMYFUNCTION("IMPORTRANGE(""https://docs.google.com/spreadsheets/d/1SX6NBoVAgQJ6U1MVXOaj8PK2l7WJ3RER9xtqwdhxkhw/edit?usp=sharing"",""ชลบุรี!J24"")"),0)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IFERROR(__xludf.DUMMYFUNCTION("IMPORTRANGE(""https://docs.google.com/spreadsheets/d/1SX6NBoVAgQJ6U1MVXOaj8PK2l7WJ3RER9xtqwdhxkhw/edit?usp=sharing"",""ชลบุรี!I25"")"),0)</f>
        <v>0</v>
      </c>
      <c r="J85" s="189">
        <f ca="1">IFERROR(__xludf.DUMMYFUNCTION("IMPORTRANGE(""https://docs.google.com/spreadsheets/d/1SX6NBoVAgQJ6U1MVXOaj8PK2l7WJ3RER9xtqwdhxkhw/edit?usp=sharing"",""ชลบุรี!J25"")"),0)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IFERROR(__xludf.DUMMYFUNCTION("IMPORTRANGE(""https://docs.google.com/spreadsheets/d/1SX6NBoVAgQJ6U1MVXOaj8PK2l7WJ3RER9xtqwdhxkhw/edit?usp=sharing"",""ชลบุรี!I26"")"),0)</f>
        <v>0</v>
      </c>
      <c r="J86" s="204">
        <f ca="1">IFERROR(__xludf.DUMMYFUNCTION("IMPORTRANGE(""https://docs.google.com/spreadsheets/d/1SX6NBoVAgQJ6U1MVXOaj8PK2l7WJ3RER9xtqwdhxkhw/edit?usp=sharing"",""ชลบุรี!J26"")"),0)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IFERROR(__xludf.DUMMYFUNCTION("IMPORTRANGE(""https://docs.google.com/spreadsheets/d/1SX6NBoVAgQJ6U1MVXOaj8PK2l7WJ3RER9xtqwdhxkhw/edit?usp=sharing"",""ชลบุรี!I27"")"),0)</f>
        <v>0</v>
      </c>
      <c r="J87" s="204">
        <f ca="1">IFERROR(__xludf.DUMMYFUNCTION("IMPORTRANGE(""https://docs.google.com/spreadsheets/d/1SX6NBoVAgQJ6U1MVXOaj8PK2l7WJ3RER9xtqwdhxkhw/edit?usp=sharing"",""ชลบุรี!J27"")"),0)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IFERROR(__xludf.DUMMYFUNCTION("IMPORTRANGE(""https://docs.google.com/spreadsheets/d/1SX6NBoVAgQJ6U1MVXOaj8PK2l7WJ3RER9xtqwdhxkhw/edit?usp=sharing"",""ชลบุรี!I28"")"),0)</f>
        <v>0</v>
      </c>
      <c r="J88" s="204">
        <f ca="1">IFERROR(__xludf.DUMMYFUNCTION("IMPORTRANGE(""https://docs.google.com/spreadsheets/d/1SX6NBoVAgQJ6U1MVXOaj8PK2l7WJ3RER9xtqwdhxkhw/edit?usp=sharing"",""ชลบุรี!J28"")"),0)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IFERROR(__xludf.DUMMYFUNCTION("IMPORTRANGE(""https://docs.google.com/spreadsheets/d/1SX6NBoVAgQJ6U1MVXOaj8PK2l7WJ3RER9xtqwdhxkhw/edit?usp=sharing"",""ชลบุรี!J29"")"),0)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IFERROR(__xludf.DUMMYFUNCTION("IMPORTRANGE(""https://docs.google.com/spreadsheets/d/1SX6NBoVAgQJ6U1MVXOaj8PK2l7WJ3RER9xtqwdhxkhw/edit?usp=sharing"",""ชลบุรี!J30"")"),0)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IFERROR(__xludf.DUMMYFUNCTION("IMPORTRANGE(""https://docs.google.com/spreadsheets/d/1SX6NBoVAgQJ6U1MVXOaj8PK2l7WJ3RER9xtqwdhxkhw/edit?usp=sharing"",""ชลบุรี!I32"")"),4)</f>
        <v>4</v>
      </c>
      <c r="J92" s="142">
        <f ca="1">IFERROR(__xludf.DUMMYFUNCTION("IMPORTRANGE(""https://docs.google.com/spreadsheets/d/1SX6NBoVAgQJ6U1MVXOaj8PK2l7WJ3RER9xtqwdhxkhw/edit?usp=sharing"",""ชลบุรี!J32"")"),4)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IFERROR(__xludf.DUMMYFUNCTION("IMPORTRANGE(""https://docs.google.com/spreadsheets/d/1SX6NBoVAgQJ6U1MVXOaj8PK2l7WJ3RER9xtqwdhxkhw/edit?usp=sharing"",""ชลบุรี!I33"")"),1)</f>
        <v>1</v>
      </c>
      <c r="J93" s="142">
        <f ca="1">IFERROR(__xludf.DUMMYFUNCTION("IMPORTRANGE(""https://docs.google.com/spreadsheets/d/1SX6NBoVAgQJ6U1MVXOaj8PK2l7WJ3RER9xtqwdhxkhw/edit?usp=sharing"",""ชลบุรี!J33"")"),1)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183539</v>
      </c>
      <c r="O94" s="151">
        <f t="shared" ref="O94:O96" ca="1" si="53">IF(L94&gt;0,N94*100/L94,0)</f>
        <v>85.565967365967367</v>
      </c>
      <c r="P94" s="151">
        <f t="shared" ref="P94:P96" ca="1" si="54">IF(M94&gt;0,N94*100/M94,0)</f>
        <v>85.565967365967367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183539</v>
      </c>
      <c r="O96" s="156">
        <f t="shared" ca="1" si="53"/>
        <v>85.565967365967367</v>
      </c>
      <c r="P96" s="156">
        <f t="shared" ca="1" si="54"/>
        <v>85.565967365967367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IFERROR(__xludf.DUMMYFUNCTION("IMPORTRANGE(""https://docs.google.com/spreadsheets/d/1Yj_ptqi66GCucihVvJfMjLAmec39IyEx_6qawtMGysU/edit?usp=sharing"",""สบก!AR62"")"),122100)</f>
        <v>122100</v>
      </c>
      <c r="N98" s="169">
        <f ca="1">IFERROR(__xludf.DUMMYFUNCTION("IMPORTRANGE(""https://docs.google.com/spreadsheets/d/1Yj_ptqi66GCucihVvJfMjLAmec39IyEx_6qawtMGysU/edit?usp=sharing"",""สบก!AS62"")"),91139)</f>
        <v>91139</v>
      </c>
      <c r="O98" s="169">
        <f ca="1">IF(L98&gt;0,N98*100/L98,0)</f>
        <v>74.642915642915639</v>
      </c>
      <c r="P98" s="169">
        <f ca="1">IF(M98&gt;0,N98*100/M98,0)</f>
        <v>74.642915642915639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IFERROR(__xludf.DUMMYFUNCTION("IMPORTRANGE(""https://docs.google.com/spreadsheets/d/1Yj_ptqi66GCucihVvJfMjLAmec39IyEx_6qawtMGysU/edit?usp=sharing"",""สบก!AO62"")"),122100)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IFERROR(__xludf.DUMMYFUNCTION("IMPORTRANGE(""https://docs.google.com/spreadsheets/d/1Yj_ptqi66GCucihVvJfMjLAmec39IyEx_6qawtMGysU/edit?usp=sharing"",""สบก!AP62"")"),92400)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IFERROR(__xludf.DUMMYFUNCTION("IMPORTRANGE(""https://docs.google.com/spreadsheets/d/1Yj_ptqi66GCucihVvJfMjLAmec39IyEx_6qawtMGysU/edit?usp=sharing"",""สบก!AT62"")"),92400)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IFERROR(__xludf.DUMMYFUNCTION("IMPORTRANGE(""https://docs.google.com/spreadsheets/d/1SX6NBoVAgQJ6U1MVXOaj8PK2l7WJ3RER9xtqwdhxkhw/edit?usp=sharing"",""ชลบุรี!J39"")"),0)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IFERROR(__xludf.DUMMYFUNCTION("IMPORTRANGE(""https://docs.google.com/spreadsheets/d/1SX6NBoVAgQJ6U1MVXOaj8PK2l7WJ3RER9xtqwdhxkhw/edit?usp=sharing"",""ชลบุรี!J40"")"),1)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IFERROR(__xludf.DUMMYFUNCTION("IMPORTRANGE(""https://docs.google.com/spreadsheets/d/1SX6NBoVAgQJ6U1MVXOaj8PK2l7WJ3RER9xtqwdhxkhw/edit?usp=sharing"",""ชลบุรี!J41"")"),1)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IFERROR(__xludf.DUMMYFUNCTION("IMPORTRANGE(""https://docs.google.com/spreadsheets/d/1SX6NBoVAgQJ6U1MVXOaj8PK2l7WJ3RER9xtqwdhxkhw/edit?usp=sharing"",""ชลบุรี!J42"")"),1)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IFERROR(__xludf.DUMMYFUNCTION("IMPORTRANGE(""https://docs.google.com/spreadsheets/d/1SX6NBoVAgQJ6U1MVXOaj8PK2l7WJ3RER9xtqwdhxkhw/edit?usp=sharing"",""ชลบุรี!I43"")"),1)</f>
        <v>1</v>
      </c>
      <c r="J108" s="204">
        <f ca="1">IFERROR(__xludf.DUMMYFUNCTION("IMPORTRANGE(""https://docs.google.com/spreadsheets/d/1SX6NBoVAgQJ6U1MVXOaj8PK2l7WJ3RER9xtqwdhxkhw/edit?usp=sharing"",""ชลบุรี!J43"")"),1)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IFERROR(__xludf.DUMMYFUNCTION("IMPORTRANGE(""https://docs.google.com/spreadsheets/d/1SX6NBoVAgQJ6U1MVXOaj8PK2l7WJ3RER9xtqwdhxkhw/edit?usp=sharing"",""ชลบุรี!I44"")"),4)</f>
        <v>4</v>
      </c>
      <c r="J109" s="204">
        <f ca="1">IFERROR(__xludf.DUMMYFUNCTION("IMPORTRANGE(""https://docs.google.com/spreadsheets/d/1SX6NBoVAgQJ6U1MVXOaj8PK2l7WJ3RER9xtqwdhxkhw/edit?usp=sharing"",""ชลบุรี!J44"")"),4)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IFERROR(__xludf.DUMMYFUNCTION("IMPORTRANGE(""https://docs.google.com/spreadsheets/d/1SX6NBoVAgQJ6U1MVXOaj8PK2l7WJ3RER9xtqwdhxkhw/edit?usp=sharing"",""ชลบุรี!I45"")"),4)</f>
        <v>4</v>
      </c>
      <c r="J110" s="204">
        <f ca="1">IFERROR(__xludf.DUMMYFUNCTION("IMPORTRANGE(""https://docs.google.com/spreadsheets/d/1SX6NBoVAgQJ6U1MVXOaj8PK2l7WJ3RER9xtqwdhxkhw/edit?usp=sharing"",""ชลบุรี!J45"")"),4)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IFERROR(__xludf.DUMMYFUNCTION("IMPORTRANGE(""https://docs.google.com/spreadsheets/d/1SX6NBoVAgQJ6U1MVXOaj8PK2l7WJ3RER9xtqwdhxkhw/edit?usp=sharing"",""ชลบุรี!I46"")"),4)</f>
        <v>4</v>
      </c>
      <c r="J111" s="204">
        <f ca="1">IFERROR(__xludf.DUMMYFUNCTION("IMPORTRANGE(""https://docs.google.com/spreadsheets/d/1SX6NBoVAgQJ6U1MVXOaj8PK2l7WJ3RER9xtqwdhxkhw/edit?usp=sharing"",""ชลบุรี!J46"")"),4)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IFERROR(__xludf.DUMMYFUNCTION("IMPORTRANGE(""https://docs.google.com/spreadsheets/d/1SX6NBoVAgQJ6U1MVXOaj8PK2l7WJ3RER9xtqwdhxkhw/edit?usp=sharing"",""ชลบุรี!I47"")"),4)</f>
        <v>4</v>
      </c>
      <c r="J112" s="204">
        <f ca="1">IFERROR(__xludf.DUMMYFUNCTION("IMPORTRANGE(""https://docs.google.com/spreadsheets/d/1SX6NBoVAgQJ6U1MVXOaj8PK2l7WJ3RER9xtqwdhxkhw/edit?usp=sharing"",""ชลบุรี!J47"")"),4)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IFERROR(__xludf.DUMMYFUNCTION("IMPORTRANGE(""https://docs.google.com/spreadsheets/d/1SX6NBoVAgQJ6U1MVXOaj8PK2l7WJ3RER9xtqwdhxkhw/edit?usp=sharing"",""ชลบุรี!I48"")"),1)</f>
        <v>1</v>
      </c>
      <c r="J113" s="204">
        <f ca="1">IFERROR(__xludf.DUMMYFUNCTION("IMPORTRANGE(""https://docs.google.com/spreadsheets/d/1SX6NBoVAgQJ6U1MVXOaj8PK2l7WJ3RER9xtqwdhxkhw/edit?usp=sharing"",""ชลบุรี!J48"")"),1)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IFERROR(__xludf.DUMMYFUNCTION("IMPORTRANGE(""https://docs.google.com/spreadsheets/d/1SX6NBoVAgQJ6U1MVXOaj8PK2l7WJ3RER9xtqwdhxkhw/edit?usp=sharing"",""ชลบุรี!J49"")"),0)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IFERROR(__xludf.DUMMYFUNCTION("IMPORTRANGE(""https://docs.google.com/spreadsheets/d/1SX6NBoVAgQJ6U1MVXOaj8PK2l7WJ3RER9xtqwdhxkhw/edit?usp=sharing"",""ชลบุรี!J50"")"),0)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IFERROR(__xludf.DUMMYFUNCTION("IMPORTRANGE(""https://docs.google.com/spreadsheets/d/1SX6NBoVAgQJ6U1MVXOaj8PK2l7WJ3RER9xtqwdhxkhw/edit?usp=sharing"",""ชลบุรี!I52"")"),20)</f>
        <v>20</v>
      </c>
      <c r="J117" s="142">
        <f ca="1">IFERROR(__xludf.DUMMYFUNCTION("IMPORTRANGE(""https://docs.google.com/spreadsheets/d/1SX6NBoVAgQJ6U1MVXOaj8PK2l7WJ3RER9xtqwdhxkhw/edit?usp=sharing"",""ชลบุรี!J52"")"),20)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61040</v>
      </c>
      <c r="O118" s="151">
        <f t="shared" ref="O118:O120" ca="1" si="59">IF(L118&gt;0,N118*100/L118,0)</f>
        <v>74.041727316836486</v>
      </c>
      <c r="P118" s="151">
        <f t="shared" ref="P118:P120" ca="1" si="60">IF(M118&gt;0,N118*100/M118,0)</f>
        <v>74.041727316836486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61040</v>
      </c>
      <c r="O120" s="156">
        <f t="shared" ca="1" si="59"/>
        <v>74.041727316836486</v>
      </c>
      <c r="P120" s="156">
        <f t="shared" ca="1" si="60"/>
        <v>74.041727316836486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168">
        <f ca="1">IFERROR(__xludf.DUMMYFUNCTION("IMPORTRANGE(""https://docs.google.com/spreadsheets/d/1Yj_ptqi66GCucihVvJfMjLAmec39IyEx_6qawtMGysU/edit?usp=sharing"",""สบก!BA62"")"),82440)</f>
        <v>82440</v>
      </c>
      <c r="N122" s="169">
        <f ca="1">IFERROR(__xludf.DUMMYFUNCTION("IMPORTRANGE(""https://docs.google.com/spreadsheets/d/1Yj_ptqi66GCucihVvJfMjLAmec39IyEx_6qawtMGysU/edit?usp=sharing"",""สบก!BB62"")"),61040)</f>
        <v>61040</v>
      </c>
      <c r="O122" s="169">
        <f ca="1">IF(L122&gt;0,N122*100/L122,0)</f>
        <v>74.041727316836486</v>
      </c>
      <c r="P122" s="169">
        <f ca="1">IF(M122&gt;0,N122*100/M122,0)</f>
        <v>74.041727316836486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IFERROR(__xludf.DUMMYFUNCTION("IMPORTRANGE(""https://docs.google.com/spreadsheets/d/1Yj_ptqi66GCucihVvJfMjLAmec39IyEx_6qawtMGysU/edit?usp=sharing"",""สบก!AX62"")"),82440)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IFERROR(__xludf.DUMMYFUNCTION("IMPORTRANGE(""https://docs.google.com/spreadsheets/d/1Yj_ptqi66GCucihVvJfMjLAmec39IyEx_6qawtMGysU/edit?usp=sharing"",""สบก!AY62"")"),0)</f>
        <v>0</v>
      </c>
      <c r="M126" s="49"/>
      <c r="N126" s="49">
        <f ca="1">IFERROR(__xludf.DUMMYFUNCTION("IMPORTRANGE(""https://docs.google.com/spreadsheets/d/1Yj_ptqi66GCucihVvJfMjLAmec39IyEx_6qawtMGysU/edit?usp=sharing"",""สบก!BC62"")"),0)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IFERROR(__xludf.DUMMYFUNCTION("IMPORTRANGE(""https://docs.google.com/spreadsheets/d/1SX6NBoVAgQJ6U1MVXOaj8PK2l7WJ3RER9xtqwdhxkhw/edit?usp=sharing"",""ชลบุรี!J58"")"),0)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IFERROR(__xludf.DUMMYFUNCTION("IMPORTRANGE(""https://docs.google.com/spreadsheets/d/1SX6NBoVAgQJ6U1MVXOaj8PK2l7WJ3RER9xtqwdhxkhw/edit?usp=sharing"",""ชลบุรี!J59"")"),1)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IFERROR(__xludf.DUMMYFUNCTION("IMPORTRANGE(""https://docs.google.com/spreadsheets/d/1SX6NBoVAgQJ6U1MVXOaj8PK2l7WJ3RER9xtqwdhxkhw/edit?usp=sharing"",""ชลบุรี!J60"")"),1)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IFERROR(__xludf.DUMMYFUNCTION("IMPORTRANGE(""https://docs.google.com/spreadsheets/d/1SX6NBoVAgQJ6U1MVXOaj8PK2l7WJ3RER9xtqwdhxkhw/edit?usp=sharing"",""ชลบุรี!J61"")"),1)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IFERROR(__xludf.DUMMYFUNCTION("IMPORTRANGE(""https://docs.google.com/spreadsheets/d/1SX6NBoVAgQJ6U1MVXOaj8PK2l7WJ3RER9xtqwdhxkhw/edit?usp=sharing"",""ชลบุรี!I62"")"),20)</f>
        <v>20</v>
      </c>
      <c r="J132" s="204">
        <f ca="1">IFERROR(__xludf.DUMMYFUNCTION("IMPORTRANGE(""https://docs.google.com/spreadsheets/d/1SX6NBoVAgQJ6U1MVXOaj8PK2l7WJ3RER9xtqwdhxkhw/edit?usp=sharing"",""ชลบุรี!J62"")"),20)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IFERROR(__xludf.DUMMYFUNCTION("IMPORTRANGE(""https://docs.google.com/spreadsheets/d/1SX6NBoVAgQJ6U1MVXOaj8PK2l7WJ3RER9xtqwdhxkhw/edit?usp=sharing"",""ชลบุรี!I63"")"),20)</f>
        <v>20</v>
      </c>
      <c r="J133" s="204">
        <f ca="1">IFERROR(__xludf.DUMMYFUNCTION("IMPORTRANGE(""https://docs.google.com/spreadsheets/d/1SX6NBoVAgQJ6U1MVXOaj8PK2l7WJ3RER9xtqwdhxkhw/edit?usp=sharing"",""ชลบุรี!J63"")"),20)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IFERROR(__xludf.DUMMYFUNCTION("IMPORTRANGE(""https://docs.google.com/spreadsheets/d/1SX6NBoVAgQJ6U1MVXOaj8PK2l7WJ3RER9xtqwdhxkhw/edit?usp=sharing"",""ชลบุรี!J64"")"),0)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IFERROR(__xludf.DUMMYFUNCTION("IMPORTRANGE(""https://docs.google.com/spreadsheets/d/1SX6NBoVAgQJ6U1MVXOaj8PK2l7WJ3RER9xtqwdhxkhw/edit?usp=sharing"",""ชลบุรี!J65"")"),0)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IFERROR(__xludf.DUMMYFUNCTION("IMPORTRANGE(""https://docs.google.com/spreadsheets/d/1SX6NBoVAgQJ6U1MVXOaj8PK2l7WJ3RER9xtqwdhxkhw/edit?usp=sharing"",""ชลบุรี!I68"")"),55)</f>
        <v>55</v>
      </c>
      <c r="J138" s="268">
        <f ca="1">IFERROR(__xludf.DUMMYFUNCTION("IMPORTRANGE(""https://docs.google.com/spreadsheets/d/1SX6NBoVAgQJ6U1MVXOaj8PK2l7WJ3RER9xtqwdhxkhw/edit?usp=sharing"",""ชลบุรี!J68"")"),55)</f>
        <v>55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323600</v>
      </c>
      <c r="M140" s="152">
        <f t="shared" ca="1" si="64"/>
        <v>308660</v>
      </c>
      <c r="N140" s="152">
        <f t="shared" ca="1" si="64"/>
        <v>273650.48</v>
      </c>
      <c r="O140" s="151">
        <f t="shared" ref="O140:O142" ca="1" si="65">IF(L140&gt;0,N140*100/L140,0)</f>
        <v>84.564425216316437</v>
      </c>
      <c r="P140" s="151">
        <f t="shared" ref="P140:P142" ca="1" si="66">IF(M140&gt;0,N140*100/M140,0)</f>
        <v>88.657577917449615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323600</v>
      </c>
      <c r="M142" s="157">
        <f t="shared" ca="1" si="68"/>
        <v>308660</v>
      </c>
      <c r="N142" s="157">
        <f t="shared" ca="1" si="68"/>
        <v>273650.48</v>
      </c>
      <c r="O142" s="156">
        <f t="shared" ca="1" si="65"/>
        <v>84.564425216316437</v>
      </c>
      <c r="P142" s="156">
        <f t="shared" ca="1" si="66"/>
        <v>88.657577917449615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323600</v>
      </c>
      <c r="M144" s="168">
        <f ca="1">IFERROR(__xludf.DUMMYFUNCTION("IMPORTRANGE(""https://docs.google.com/spreadsheets/d/1Yj_ptqi66GCucihVvJfMjLAmec39IyEx_6qawtMGysU/edit?usp=sharing"",""สบก!BJ62"")"),308660)</f>
        <v>308660</v>
      </c>
      <c r="N144" s="169">
        <f ca="1">IFERROR(__xludf.DUMMYFUNCTION("IMPORTRANGE(""https://docs.google.com/spreadsheets/d/1Yj_ptqi66GCucihVvJfMjLAmec39IyEx_6qawtMGysU/edit?usp=sharing"",""สบก!BK62"")"),273650.48)</f>
        <v>273650.48</v>
      </c>
      <c r="O144" s="169">
        <f ca="1">IF(L144&gt;0,N144*100/L144,0)</f>
        <v>84.564425216316437</v>
      </c>
      <c r="P144" s="169">
        <f ca="1">IF(M144&gt;0,N144*100/M144,0)</f>
        <v>88.657577917449615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IFERROR(__xludf.DUMMYFUNCTION("IMPORTRANGE(""https://docs.google.com/spreadsheets/d/1Yj_ptqi66GCucihVvJfMjLAmec39IyEx_6qawtMGysU/edit?usp=sharing"",""สบก!BF62"")"),132000)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IFERROR(__xludf.DUMMYFUNCTION("IMPORTRANGE(""https://docs.google.com/spreadsheets/d/1Yj_ptqi66GCucihVvJfMjLAmec39IyEx_6qawtMGysU/edit?usp=sharing"",""สบก!BG62"")"),191600)</f>
        <v>191600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IFERROR(__xludf.DUMMYFUNCTION("IMPORTRANGE(""https://docs.google.com/spreadsheets/d/1Yj_ptqi66GCucihVvJfMjLAmec39IyEx_6qawtMGysU/edit?usp=sharing"",""สบก!BH62"")"),0)</f>
        <v>0</v>
      </c>
      <c r="M148" s="49"/>
      <c r="N148" s="49">
        <f ca="1">IFERROR(__xludf.DUMMYFUNCTION("IMPORTRANGE(""https://docs.google.com/spreadsheets/d/1Yj_ptqi66GCucihVvJfMjLAmec39IyEx_6qawtMGysU/edit?usp=sharing"",""สบก!BL62"")"),0)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IFERROR(__xludf.DUMMYFUNCTION("IMPORTRANGE(""https://docs.google.com/spreadsheets/d/1SX6NBoVAgQJ6U1MVXOaj8PK2l7WJ3RER9xtqwdhxkhw/edit?usp=sharing"",""ชลบุรี!I74"")"),4)</f>
        <v>4</v>
      </c>
      <c r="J149" s="276">
        <f ca="1">IFERROR(__xludf.DUMMYFUNCTION("IMPORTRANGE(""https://docs.google.com/spreadsheets/d/1SX6NBoVAgQJ6U1MVXOaj8PK2l7WJ3RER9xtqwdhxkhw/edit?usp=sharing"",""ชลบุรี!J74"")"),3)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IFERROR(__xludf.DUMMYFUNCTION("IMPORTRANGE(""https://docs.google.com/spreadsheets/d/1SX6NBoVAgQJ6U1MVXOaj8PK2l7WJ3RER9xtqwdhxkhw/edit?usp=sharing"",""ชลบุรี!J79"")"),0)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IFERROR(__xludf.DUMMYFUNCTION("IMPORTRANGE(""https://docs.google.com/spreadsheets/d/1SX6NBoVAgQJ6U1MVXOaj8PK2l7WJ3RER9xtqwdhxkhw/edit?usp=sharing"",""ชลบุรี!J80"")"),1)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IFERROR(__xludf.DUMMYFUNCTION("IMPORTRANGE(""https://docs.google.com/spreadsheets/d/1SX6NBoVAgQJ6U1MVXOaj8PK2l7WJ3RER9xtqwdhxkhw/edit?usp=sharing"",""ชลบุรี!J81"")"),1)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IFERROR(__xludf.DUMMYFUNCTION("IMPORTRANGE(""https://docs.google.com/spreadsheets/d/1SX6NBoVAgQJ6U1MVXOaj8PK2l7WJ3RER9xtqwdhxkhw/edit?usp=sharing"",""ชลบุรี!J82"")"),1)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IFERROR(__xludf.DUMMYFUNCTION("IMPORTRANGE(""https://docs.google.com/spreadsheets/d/1SX6NBoVAgQJ6U1MVXOaj8PK2l7WJ3RER9xtqwdhxkhw/edit?usp=sharing"",""ชลบุรี!I83"")"),4)</f>
        <v>4</v>
      </c>
      <c r="J158" s="189">
        <f ca="1">IFERROR(__xludf.DUMMYFUNCTION("IMPORTRANGE(""https://docs.google.com/spreadsheets/d/1SX6NBoVAgQJ6U1MVXOaj8PK2l7WJ3RER9xtqwdhxkhw/edit?usp=sharing"",""ชลบุรี!J83"")"),3)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IFERROR(__xludf.DUMMYFUNCTION("IMPORTRANGE(""https://docs.google.com/spreadsheets/d/1SX6NBoVAgQJ6U1MVXOaj8PK2l7WJ3RER9xtqwdhxkhw/edit?usp=sharing"",""ชลบุรี!J84"")"),0)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IFERROR(__xludf.DUMMYFUNCTION("IMPORTRANGE(""https://docs.google.com/spreadsheets/d/1SX6NBoVAgQJ6U1MVXOaj8PK2l7WJ3RER9xtqwdhxkhw/edit?usp=sharing"",""ชลบุรี!J85"")"),0)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IFERROR(__xludf.DUMMYFUNCTION("IMPORTRANGE(""https://docs.google.com/spreadsheets/d/1SX6NBoVAgQJ6U1MVXOaj8PK2l7WJ3RER9xtqwdhxkhw/edit?usp=sharing"",""ชลบุรี!J86"")"),0)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IFERROR(__xludf.DUMMYFUNCTION("IMPORTRANGE(""https://docs.google.com/spreadsheets/d/1SX6NBoVAgQJ6U1MVXOaj8PK2l7WJ3RER9xtqwdhxkhw/edit?usp=sharing"",""ชลบุรี!J87"")"),0)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IFERROR(__xludf.DUMMYFUNCTION("IMPORTRANGE(""https://docs.google.com/spreadsheets/d/1SX6NBoVAgQJ6U1MVXOaj8PK2l7WJ3RER9xtqwdhxkhw/edit?usp=sharing"",""ชลบุรี!J88"")"),0)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IFERROR(__xludf.DUMMYFUNCTION("IMPORTRANGE(""https://docs.google.com/spreadsheets/d/1SX6NBoVAgQJ6U1MVXOaj8PK2l7WJ3RER9xtqwdhxkhw/edit?usp=sharing"",""ชลบุรี!I89"")"),4)</f>
        <v>4</v>
      </c>
      <c r="J164" s="285">
        <f ca="1">IFERROR(__xludf.DUMMYFUNCTION("IMPORTRANGE(""https://docs.google.com/spreadsheets/d/1SX6NBoVAgQJ6U1MVXOaj8PK2l7WJ3RER9xtqwdhxkhw/edit?usp=sharing"",""ชลบุรี!J89"")"),4)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IFERROR(__xludf.DUMMYFUNCTION("IMPORTRANGE(""https://docs.google.com/spreadsheets/d/1SX6NBoVAgQJ6U1MVXOaj8PK2l7WJ3RER9xtqwdhxkhw/edit?usp=sharing"",""ชลบุรี!J94"")"),0)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IFERROR(__xludf.DUMMYFUNCTION("IMPORTRANGE(""https://docs.google.com/spreadsheets/d/1SX6NBoVAgQJ6U1MVXOaj8PK2l7WJ3RER9xtqwdhxkhw/edit?usp=sharing"",""ชลบุรี!J95"")"),1)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IFERROR(__xludf.DUMMYFUNCTION("IMPORTRANGE(""https://docs.google.com/spreadsheets/d/1SX6NBoVAgQJ6U1MVXOaj8PK2l7WJ3RER9xtqwdhxkhw/edit?usp=sharing"",""ชลบุรี!J96"")"),1)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IFERROR(__xludf.DUMMYFUNCTION("IMPORTRANGE(""https://docs.google.com/spreadsheets/d/1SX6NBoVAgQJ6U1MVXOaj8PK2l7WJ3RER9xtqwdhxkhw/edit?usp=sharing"",""ชลบุรี!J97"")"),1)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IFERROR(__xludf.DUMMYFUNCTION("IMPORTRANGE(""https://docs.google.com/spreadsheets/d/1SX6NBoVAgQJ6U1MVXOaj8PK2l7WJ3RER9xtqwdhxkhw/edit?usp=sharing"",""ชลบุรี!I98"")"),4)</f>
        <v>4</v>
      </c>
      <c r="J173" s="189">
        <f ca="1">IFERROR(__xludf.DUMMYFUNCTION("IMPORTRANGE(""https://docs.google.com/spreadsheets/d/1SX6NBoVAgQJ6U1MVXOaj8PK2l7WJ3RER9xtqwdhxkhw/edit?usp=sharing"",""ชลบุรี!J98"")"),4)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IFERROR(__xludf.DUMMYFUNCTION("IMPORTRANGE(""https://docs.google.com/spreadsheets/d/1SX6NBoVAgQJ6U1MVXOaj8PK2l7WJ3RER9xtqwdhxkhw/edit?usp=sharing"",""ชลบุรี!J99"")"),0)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IFERROR(__xludf.DUMMYFUNCTION("IMPORTRANGE(""https://docs.google.com/spreadsheets/d/1SX6NBoVAgQJ6U1MVXOaj8PK2l7WJ3RER9xtqwdhxkhw/edit?usp=sharing"",""ชลบุรี!J100"")"),0)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IFERROR(__xludf.DUMMYFUNCTION("IMPORTRANGE(""https://docs.google.com/spreadsheets/d/1SX6NBoVAgQJ6U1MVXOaj8PK2l7WJ3RER9xtqwdhxkhw/edit?usp=sharing"",""ชลบุรี!I101"")"),0)</f>
        <v>0</v>
      </c>
      <c r="J176" s="285">
        <f ca="1">IFERROR(__xludf.DUMMYFUNCTION("IMPORTRANGE(""https://docs.google.com/spreadsheets/d/1SX6NBoVAgQJ6U1MVXOaj8PK2l7WJ3RER9xtqwdhxkhw/edit?usp=sharing"",""ชลบุรี!J101"")"),0)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IFERROR(__xludf.DUMMYFUNCTION("IMPORTRANGE(""https://docs.google.com/spreadsheets/d/1SX6NBoVAgQJ6U1MVXOaj8PK2l7WJ3RER9xtqwdhxkhw/edit?usp=sharing"",""ชลบุรี!J106"")"),0)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IFERROR(__xludf.DUMMYFUNCTION("IMPORTRANGE(""https://docs.google.com/spreadsheets/d/1SX6NBoVAgQJ6U1MVXOaj8PK2l7WJ3RER9xtqwdhxkhw/edit?usp=sharing"",""ชลบุรี!J107"")"),0)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IFERROR(__xludf.DUMMYFUNCTION("IMPORTRANGE(""https://docs.google.com/spreadsheets/d/1SX6NBoVAgQJ6U1MVXOaj8PK2l7WJ3RER9xtqwdhxkhw/edit?usp=sharing"",""ชลบุรี!J108"")"),0)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IFERROR(__xludf.DUMMYFUNCTION("IMPORTRANGE(""https://docs.google.com/spreadsheets/d/1SX6NBoVAgQJ6U1MVXOaj8PK2l7WJ3RER9xtqwdhxkhw/edit?usp=sharing"",""ชลบุรี!J109"")"),0)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IFERROR(__xludf.DUMMYFUNCTION("IMPORTRANGE(""https://docs.google.com/spreadsheets/d/1SX6NBoVAgQJ6U1MVXOaj8PK2l7WJ3RER9xtqwdhxkhw/edit?usp=sharing"",""ชลบุรี!I110"")"),0)</f>
        <v>0</v>
      </c>
      <c r="J185" s="204">
        <f ca="1">IFERROR(__xludf.DUMMYFUNCTION("IMPORTRANGE(""https://docs.google.com/spreadsheets/d/1SX6NBoVAgQJ6U1MVXOaj8PK2l7WJ3RER9xtqwdhxkhw/edit?usp=sharing"",""ชลบุรี!J110"")"),0)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IFERROR(__xludf.DUMMYFUNCTION("IMPORTRANGE(""https://docs.google.com/spreadsheets/d/1SX6NBoVAgQJ6U1MVXOaj8PK2l7WJ3RER9xtqwdhxkhw/edit?usp=sharing"",""ชลบุรี!I111"")"),0)</f>
        <v>0</v>
      </c>
      <c r="J186" s="204">
        <f ca="1">IFERROR(__xludf.DUMMYFUNCTION("IMPORTRANGE(""https://docs.google.com/spreadsheets/d/1SX6NBoVAgQJ6U1MVXOaj8PK2l7WJ3RER9xtqwdhxkhw/edit?usp=sharing"",""ชลบุรี!J111"")"),0)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IFERROR(__xludf.DUMMYFUNCTION("IMPORTRANGE(""https://docs.google.com/spreadsheets/d/1SX6NBoVAgQJ6U1MVXOaj8PK2l7WJ3RER9xtqwdhxkhw/edit?usp=sharing"",""ชลบุรี!J112"")"),0)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IFERROR(__xludf.DUMMYFUNCTION("IMPORTRANGE(""https://docs.google.com/spreadsheets/d/1SX6NBoVAgQJ6U1MVXOaj8PK2l7WJ3RER9xtqwdhxkhw/edit?usp=sharing"",""ชลบุรี!J113"")"),0)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IFERROR(__xludf.DUMMYFUNCTION("IMPORTRANGE(""https://docs.google.com/spreadsheets/d/1SX6NBoVAgQJ6U1MVXOaj8PK2l7WJ3RER9xtqwdhxkhw/edit?usp=sharing"",""ชลบุรี!I114"")"),5000)</f>
        <v>5000</v>
      </c>
      <c r="J189" s="285">
        <f ca="1">IFERROR(__xludf.DUMMYFUNCTION("IMPORTRANGE(""https://docs.google.com/spreadsheets/d/1SX6NBoVAgQJ6U1MVXOaj8PK2l7WJ3RER9xtqwdhxkhw/edit?usp=sharing"",""ชลบุรี!J114"")"),5000)</f>
        <v>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IFERROR(__xludf.DUMMYFUNCTION("IMPORTRANGE(""https://docs.google.com/spreadsheets/d/1SX6NBoVAgQJ6U1MVXOaj8PK2l7WJ3RER9xtqwdhxkhw/edit?usp=sharing"",""ชลบุรี!J119"")"),0)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IFERROR(__xludf.DUMMYFUNCTION("IMPORTRANGE(""https://docs.google.com/spreadsheets/d/1SX6NBoVAgQJ6U1MVXOaj8PK2l7WJ3RER9xtqwdhxkhw/edit?usp=sharing"",""ชลบุรี!J120"")"),1)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IFERROR(__xludf.DUMMYFUNCTION("IMPORTRANGE(""https://docs.google.com/spreadsheets/d/1SX6NBoVAgQJ6U1MVXOaj8PK2l7WJ3RER9xtqwdhxkhw/edit?usp=sharing"",""ชลบุรี!J121"")"),1)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IFERROR(__xludf.DUMMYFUNCTION("IMPORTRANGE(""https://docs.google.com/spreadsheets/d/1SX6NBoVAgQJ6U1MVXOaj8PK2l7WJ3RER9xtqwdhxkhw/edit?usp=sharing"",""ชลบุรี!J122"")"),1)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IFERROR(__xludf.DUMMYFUNCTION("IMPORTRANGE(""https://docs.google.com/spreadsheets/d/1SX6NBoVAgQJ6U1MVXOaj8PK2l7WJ3RER9xtqwdhxkhw/edit?usp=sharing"",""ชลบุรี!I124"")"),5000)</f>
        <v>5000</v>
      </c>
      <c r="J199" s="189">
        <f ca="1">IFERROR(__xludf.DUMMYFUNCTION("IMPORTRANGE(""https://docs.google.com/spreadsheets/d/1SX6NBoVAgQJ6U1MVXOaj8PK2l7WJ3RER9xtqwdhxkhw/edit?usp=sharing"",""ชลบุรี!J124"")"),5000)</f>
        <v>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IFERROR(__xludf.DUMMYFUNCTION("IMPORTRANGE(""https://docs.google.com/spreadsheets/d/1SX6NBoVAgQJ6U1MVXOaj8PK2l7WJ3RER9xtqwdhxkhw/edit?usp=sharing"",""ชลบุรี!I125"")"),5000)</f>
        <v>5000</v>
      </c>
      <c r="J200" s="189">
        <f ca="1">IFERROR(__xludf.DUMMYFUNCTION("IMPORTRANGE(""https://docs.google.com/spreadsheets/d/1SX6NBoVAgQJ6U1MVXOaj8PK2l7WJ3RER9xtqwdhxkhw/edit?usp=sharing"",""ชลบุรี!J125"")"),5000)</f>
        <v>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IFERROR(__xludf.DUMMYFUNCTION("IMPORTRANGE(""https://docs.google.com/spreadsheets/d/1SX6NBoVAgQJ6U1MVXOaj8PK2l7WJ3RER9xtqwdhxkhw/edit?usp=sharing"",""ชลบุรี!I126"")"),15)</f>
        <v>15</v>
      </c>
      <c r="J201" s="189">
        <f ca="1">IFERROR(__xludf.DUMMYFUNCTION("IMPORTRANGE(""https://docs.google.com/spreadsheets/d/1SX6NBoVAgQJ6U1MVXOaj8PK2l7WJ3RER9xtqwdhxkhw/edit?usp=sharing"",""ชลบุรี!J126"")"),15)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IFERROR(__xludf.DUMMYFUNCTION("IMPORTRANGE(""https://docs.google.com/spreadsheets/d/1SX6NBoVAgQJ6U1MVXOaj8PK2l7WJ3RER9xtqwdhxkhw/edit?usp=sharing"",""ชลบุรี!J127"")"),0)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IFERROR(__xludf.DUMMYFUNCTION("IMPORTRANGE(""https://docs.google.com/spreadsheets/d/1SX6NBoVAgQJ6U1MVXOaj8PK2l7WJ3RER9xtqwdhxkhw/edit?usp=sharing"",""ชลบุรี!J128"")"),0)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IFERROR(__xludf.DUMMYFUNCTION("IMPORTRANGE(""https://docs.google.com/spreadsheets/d/1SX6NBoVAgQJ6U1MVXOaj8PK2l7WJ3RER9xtqwdhxkhw/edit?usp=sharing"",""ชลบุรี!I129"")"),40)</f>
        <v>40</v>
      </c>
      <c r="J204" s="285">
        <f ca="1">IFERROR(__xludf.DUMMYFUNCTION("IMPORTRANGE(""https://docs.google.com/spreadsheets/d/1SX6NBoVAgQJ6U1MVXOaj8PK2l7WJ3RER9xtqwdhxkhw/edit?usp=sharing"",""ชลบุรี!J129"")"),40)</f>
        <v>40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IFERROR(__xludf.DUMMYFUNCTION("IMPORTRANGE(""https://docs.google.com/spreadsheets/d/1SX6NBoVAgQJ6U1MVXOaj8PK2l7WJ3RER9xtqwdhxkhw/edit?usp=sharing"",""ชลบุรี!J134"")"),0)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IFERROR(__xludf.DUMMYFUNCTION("IMPORTRANGE(""https://docs.google.com/spreadsheets/d/1SX6NBoVAgQJ6U1MVXOaj8PK2l7WJ3RER9xtqwdhxkhw/edit?usp=sharing"",""ชลบุรี!J135"")"),1)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IFERROR(__xludf.DUMMYFUNCTION("IMPORTRANGE(""https://docs.google.com/spreadsheets/d/1SX6NBoVAgQJ6U1MVXOaj8PK2l7WJ3RER9xtqwdhxkhw/edit?usp=sharing"",""ชลบุรี!J136"")"),1)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IFERROR(__xludf.DUMMYFUNCTION("IMPORTRANGE(""https://docs.google.com/spreadsheets/d/1SX6NBoVAgQJ6U1MVXOaj8PK2l7WJ3RER9xtqwdhxkhw/edit?usp=sharing"",""ชลบุรี!J137"")"),1)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IFERROR(__xludf.DUMMYFUNCTION("IMPORTRANGE(""https://docs.google.com/spreadsheets/d/1SX6NBoVAgQJ6U1MVXOaj8PK2l7WJ3RER9xtqwdhxkhw/edit?usp=sharing"",""ชลบุรี!I138"")"),40)</f>
        <v>40</v>
      </c>
      <c r="J213" s="204">
        <f ca="1">IFERROR(__xludf.DUMMYFUNCTION("IMPORTRANGE(""https://docs.google.com/spreadsheets/d/1SX6NBoVAgQJ6U1MVXOaj8PK2l7WJ3RER9xtqwdhxkhw/edit?usp=sharing"",""ชลบุรี!J138"")"),40)</f>
        <v>40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IFERROR(__xludf.DUMMYFUNCTION("IMPORTRANGE(""https://docs.google.com/spreadsheets/d/1SX6NBoVAgQJ6U1MVXOaj8PK2l7WJ3RER9xtqwdhxkhw/edit?usp=sharing"",""ชลบุรี!I140"")"),40)</f>
        <v>40</v>
      </c>
      <c r="J215" s="204">
        <f ca="1">IFERROR(__xludf.DUMMYFUNCTION("IMPORTRANGE(""https://docs.google.com/spreadsheets/d/1SX6NBoVAgQJ6U1MVXOaj8PK2l7WJ3RER9xtqwdhxkhw/edit?usp=sharing"",""ชลบุรี!J140"")"),40)</f>
        <v>40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IFERROR(__xludf.DUMMYFUNCTION("IMPORTRANGE(""https://docs.google.com/spreadsheets/d/1SX6NBoVAgQJ6U1MVXOaj8PK2l7WJ3RER9xtqwdhxkhw/edit?usp=sharing"",""ชลบุรี!I141"")"),0)</f>
        <v>0</v>
      </c>
      <c r="J216" s="204">
        <f ca="1">IFERROR(__xludf.DUMMYFUNCTION("IMPORTRANGE(""https://docs.google.com/spreadsheets/d/1SX6NBoVAgQJ6U1MVXOaj8PK2l7WJ3RER9xtqwdhxkhw/edit?usp=sharing"",""ชลบุรี!J141"")"),0)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IFERROR(__xludf.DUMMYFUNCTION("IMPORTRANGE(""https://docs.google.com/spreadsheets/d/1SX6NBoVAgQJ6U1MVXOaj8PK2l7WJ3RER9xtqwdhxkhw/edit?usp=sharing"",""ชลบุรี!J142"")"),0)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IFERROR(__xludf.DUMMYFUNCTION("IMPORTRANGE(""https://docs.google.com/spreadsheets/d/1SX6NBoVAgQJ6U1MVXOaj8PK2l7WJ3RER9xtqwdhxkhw/edit?usp=sharing"",""ชลบุรี!J143"")"),0)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IFERROR(__xludf.DUMMYFUNCTION("IMPORTRANGE(""https://docs.google.com/spreadsheets/d/1SX6NBoVAgQJ6U1MVXOaj8PK2l7WJ3RER9xtqwdhxkhw/edit?usp=sharing"",""ชลบุรี!I144"")"),0)</f>
        <v>0</v>
      </c>
      <c r="J219" s="268">
        <f ca="1">IFERROR(__xludf.DUMMYFUNCTION("IMPORTRANGE(""https://docs.google.com/spreadsheets/d/1SX6NBoVAgQJ6U1MVXOaj8PK2l7WJ3RER9xtqwdhxkhw/edit?usp=sharing"",""ชลบุรี!J144"")"),0)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IFERROR(__xludf.DUMMYFUNCTION("IMPORTRANGE(""https://docs.google.com/spreadsheets/d/1Yj_ptqi66GCucihVvJfMjLAmec39IyEx_6qawtMGysU/edit?usp=sharing"",""สบก!BS62"")"),0)</f>
        <v>0</v>
      </c>
      <c r="N224" s="169">
        <f ca="1">IFERROR(__xludf.DUMMYFUNCTION("IMPORTRANGE(""https://docs.google.com/spreadsheets/d/1Yj_ptqi66GCucihVvJfMjLAmec39IyEx_6qawtMGysU/edit?usp=sharing"",""สบก!BT62"")"),0)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IFERROR(__xludf.DUMMYFUNCTION("IMPORTRANGE(""https://docs.google.com/spreadsheets/d/1Yj_ptqi66GCucihVvJfMjLAmec39IyEx_6qawtMGysU/edit?usp=sharing"",""สบก!BP62"")"),0)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IFERROR(__xludf.DUMMYFUNCTION("IMPORTRANGE(""https://docs.google.com/spreadsheets/d/1Yj_ptqi66GCucihVvJfMjLAmec39IyEx_6qawtMGysU/edit?usp=sharing"",""สบก!BQ62"")"),0)</f>
        <v>0</v>
      </c>
      <c r="M228" s="49"/>
      <c r="N228" s="49">
        <f ca="1">IFERROR(__xludf.DUMMYFUNCTION("IMPORTRANGE(""https://docs.google.com/spreadsheets/d/1Yj_ptqi66GCucihVvJfMjLAmec39IyEx_6qawtMGysU/edit?usp=sharing"",""สบก!BU62"")"),0)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IFERROR(__xludf.DUMMYFUNCTION("IMPORTRANGE(""https://docs.google.com/spreadsheets/d/1SX6NBoVAgQJ6U1MVXOaj8PK2l7WJ3RER9xtqwdhxkhw/edit?usp=sharing"",""ชลบุรี!I149"")"),0)</f>
        <v>0</v>
      </c>
      <c r="J229" s="268">
        <f ca="1">IFERROR(__xludf.DUMMYFUNCTION("IMPORTRANGE(""https://docs.google.com/spreadsheets/d/1SX6NBoVAgQJ6U1MVXOaj8PK2l7WJ3RER9xtqwdhxkhw/edit?usp=sharing"",""ชลบุรี!J149"")"),0)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IFERROR(__xludf.DUMMYFUNCTION("IMPORTRANGE(""https://docs.google.com/spreadsheets/d/1SX6NBoVAgQJ6U1MVXOaj8PK2l7WJ3RER9xtqwdhxkhw/edit?usp=sharing"",""ชลบุรี!J151"")"),0)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IFERROR(__xludf.DUMMYFUNCTION("IMPORTRANGE(""https://docs.google.com/spreadsheets/d/1SX6NBoVAgQJ6U1MVXOaj8PK2l7WJ3RER9xtqwdhxkhw/edit?usp=sharing"",""ชลบุรี!J152"")"),0)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IFERROR(__xludf.DUMMYFUNCTION("IMPORTRANGE(""https://docs.google.com/spreadsheets/d/1SX6NBoVAgQJ6U1MVXOaj8PK2l7WJ3RER9xtqwdhxkhw/edit?usp=sharing"",""ชลบุรี!J153"")"),0)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IFERROR(__xludf.DUMMYFUNCTION("IMPORTRANGE(""https://docs.google.com/spreadsheets/d/1SX6NBoVAgQJ6U1MVXOaj8PK2l7WJ3RER9xtqwdhxkhw/edit?usp=sharing"",""ชลบุรี!J154"")"),0)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IFERROR(__xludf.DUMMYFUNCTION("IMPORTRANGE(""https://docs.google.com/spreadsheets/d/1SX6NBoVAgQJ6U1MVXOaj8PK2l7WJ3RER9xtqwdhxkhw/edit?usp=sharing"",""ชลบุรี!I155"")"),0)</f>
        <v>0</v>
      </c>
      <c r="J235" s="189">
        <f ca="1">IFERROR(__xludf.DUMMYFUNCTION("IMPORTRANGE(""https://docs.google.com/spreadsheets/d/1SX6NBoVAgQJ6U1MVXOaj8PK2l7WJ3RER9xtqwdhxkhw/edit?usp=sharing"",""ชลบุรี!J155"")"),0)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IFERROR(__xludf.DUMMYFUNCTION("IMPORTRANGE(""https://docs.google.com/spreadsheets/d/1SX6NBoVAgQJ6U1MVXOaj8PK2l7WJ3RER9xtqwdhxkhw/edit?usp=sharing"",""ชลบุรี!J156"")"),0)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IFERROR(__xludf.DUMMYFUNCTION("IMPORTRANGE(""https://docs.google.com/spreadsheets/d/1SX6NBoVAgQJ6U1MVXOaj8PK2l7WJ3RER9xtqwdhxkhw/edit?usp=sharing"",""ชลบุรี!J157"")"),0)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IFERROR(__xludf.DUMMYFUNCTION("IMPORTRANGE(""https://docs.google.com/spreadsheets/d/1SX6NBoVAgQJ6U1MVXOaj8PK2l7WJ3RER9xtqwdhxkhw/edit?usp=sharing"",""ชลบุรี!I158"")"),0)</f>
        <v>0</v>
      </c>
      <c r="J238" s="268">
        <f ca="1">IFERROR(__xludf.DUMMYFUNCTION("IMPORTRANGE(""https://docs.google.com/spreadsheets/d/1SX6NBoVAgQJ6U1MVXOaj8PK2l7WJ3RER9xtqwdhxkhw/edit?usp=sharing"",""ชลบุรี!J158"")"),0)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IFERROR(__xludf.DUMMYFUNCTION("IMPORTRANGE(""https://docs.google.com/spreadsheets/d/1SX6NBoVAgQJ6U1MVXOaj8PK2l7WJ3RER9xtqwdhxkhw/edit?usp=sharing"",""ชลบุรี!J159"")"),"")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IFERROR(__xludf.DUMMYFUNCTION("IMPORTRANGE(""https://docs.google.com/spreadsheets/d/1SX6NBoVAgQJ6U1MVXOaj8PK2l7WJ3RER9xtqwdhxkhw/edit?usp=sharing"",""ชลบุรี!J161"")"),0)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IFERROR(__xludf.DUMMYFUNCTION("IMPORTRANGE(""https://docs.google.com/spreadsheets/d/1SX6NBoVAgQJ6U1MVXOaj8PK2l7WJ3RER9xtqwdhxkhw/edit?usp=sharing"",""ชลบุรี!J162"")"),0)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IFERROR(__xludf.DUMMYFUNCTION("IMPORTRANGE(""https://docs.google.com/spreadsheets/d/1SX6NBoVAgQJ6U1MVXOaj8PK2l7WJ3RER9xtqwdhxkhw/edit?usp=sharing"",""ชลบุรี!J163"")"),0)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IFERROR(__xludf.DUMMYFUNCTION("IMPORTRANGE(""https://docs.google.com/spreadsheets/d/1SX6NBoVAgQJ6U1MVXOaj8PK2l7WJ3RER9xtqwdhxkhw/edit?usp=sharing"",""ชลบุรี!I164"")"),0)</f>
        <v>0</v>
      </c>
      <c r="J244" s="188">
        <f ca="1">IFERROR(__xludf.DUMMYFUNCTION("IMPORTRANGE(""https://docs.google.com/spreadsheets/d/1SX6NBoVAgQJ6U1MVXOaj8PK2l7WJ3RER9xtqwdhxkhw/edit?usp=sharing"",""ชลบุรี!J164"")"),0)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IFERROR(__xludf.DUMMYFUNCTION("IMPORTRANGE(""https://docs.google.com/spreadsheets/d/1SX6NBoVAgQJ6U1MVXOaj8PK2l7WJ3RER9xtqwdhxkhw/edit?usp=sharing"",""ชลบุรี!J165"")"),0)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IFERROR(__xludf.DUMMYFUNCTION("IMPORTRANGE(""https://docs.google.com/spreadsheets/d/1SX6NBoVAgQJ6U1MVXOaj8PK2l7WJ3RER9xtqwdhxkhw/edit?usp=sharing"",""ชลบุรี!J166"")"),0)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IFERROR(__xludf.DUMMYFUNCTION("IMPORTRANGE(""https://docs.google.com/spreadsheets/d/1SX6NBoVAgQJ6U1MVXOaj8PK2l7WJ3RER9xtqwdhxkhw/edit?usp=sharing"",""ชลบุรี!I169"")"),0)</f>
        <v>0</v>
      </c>
      <c r="J249" s="317">
        <f ca="1">IFERROR(__xludf.DUMMYFUNCTION("IMPORTRANGE(""https://docs.google.com/spreadsheets/d/1SX6NBoVAgQJ6U1MVXOaj8PK2l7WJ3RER9xtqwdhxkhw/edit?usp=sharing"",""ชลบุรี!J169"")"),0)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IFERROR(__xludf.DUMMYFUNCTION("IMPORTRANGE(""https://docs.google.com/spreadsheets/d/1Yj_ptqi66GCucihVvJfMjLAmec39IyEx_6qawtMGysU/edit?usp=sharing"",""สบก!CB62"")"),0)</f>
        <v>0</v>
      </c>
      <c r="N254" s="169">
        <f ca="1">IFERROR(__xludf.DUMMYFUNCTION("IMPORTRANGE(""https://docs.google.com/spreadsheets/d/1Yj_ptqi66GCucihVvJfMjLAmec39IyEx_6qawtMGysU/edit?usp=sharing"",""สบก!CC62"")"),0)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IFERROR(__xludf.DUMMYFUNCTION("IMPORTRANGE(""https://docs.google.com/spreadsheets/d/1Yj_ptqi66GCucihVvJfMjLAmec39IyEx_6qawtMGysU/edit?usp=sharing"",""สบก!BZ62"")"),0)</f>
        <v>0</v>
      </c>
      <c r="M258" s="49"/>
      <c r="N258" s="49">
        <f ca="1">IFERROR(__xludf.DUMMYFUNCTION("IMPORTRANGE(""https://docs.google.com/spreadsheets/d/1Yj_ptqi66GCucihVvJfMjLAmec39IyEx_6qawtMGysU/edit?usp=sharing"",""สบก!CD62"")"),0)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IFERROR(__xludf.DUMMYFUNCTION("IMPORTRANGE(""https://docs.google.com/spreadsheets/d/1SX6NBoVAgQJ6U1MVXOaj8PK2l7WJ3RER9xtqwdhxkhw/edit?usp=sharing"",""ชลบุรี!J175"")"),0)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IFERROR(__xludf.DUMMYFUNCTION("IMPORTRANGE(""https://docs.google.com/spreadsheets/d/1SX6NBoVAgQJ6U1MVXOaj8PK2l7WJ3RER9xtqwdhxkhw/edit?usp=sharing"",""ชลบุรี!J176"")"),0)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IFERROR(__xludf.DUMMYFUNCTION("IMPORTRANGE(""https://docs.google.com/spreadsheets/d/1SX6NBoVAgQJ6U1MVXOaj8PK2l7WJ3RER9xtqwdhxkhw/edit?usp=sharing"",""ชลบุรี!J177"")"),0)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IFERROR(__xludf.DUMMYFUNCTION("IMPORTRANGE(""https://docs.google.com/spreadsheets/d/1SX6NBoVAgQJ6U1MVXOaj8PK2l7WJ3RER9xtqwdhxkhw/edit?usp=sharing"",""ชลบุรี!J178"")"),0)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IFERROR(__xludf.DUMMYFUNCTION("IMPORTRANGE(""https://docs.google.com/spreadsheets/d/1SX6NBoVAgQJ6U1MVXOaj8PK2l7WJ3RER9xtqwdhxkhw/edit?usp=sharing"",""ชลบุรี!I179"")"),0)</f>
        <v>0</v>
      </c>
      <c r="J264" s="189">
        <f ca="1">IFERROR(__xludf.DUMMYFUNCTION("IMPORTRANGE(""https://docs.google.com/spreadsheets/d/1SX6NBoVAgQJ6U1MVXOaj8PK2l7WJ3RER9xtqwdhxkhw/edit?usp=sharing"",""ชลบุรี!J179"")"),0)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IFERROR(__xludf.DUMMYFUNCTION("IMPORTRANGE(""https://docs.google.com/spreadsheets/d/1SX6NBoVAgQJ6U1MVXOaj8PK2l7WJ3RER9xtqwdhxkhw/edit?usp=sharing"",""ชลบุรี!I180"")"),0)</f>
        <v>0</v>
      </c>
      <c r="J265" s="189">
        <f ca="1">IFERROR(__xludf.DUMMYFUNCTION("IMPORTRANGE(""https://docs.google.com/spreadsheets/d/1SX6NBoVAgQJ6U1MVXOaj8PK2l7WJ3RER9xtqwdhxkhw/edit?usp=sharing"",""ชลบุรี!J180"")"),0)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IFERROR(__xludf.DUMMYFUNCTION("IMPORTRANGE(""https://docs.google.com/spreadsheets/d/1SX6NBoVAgQJ6U1MVXOaj8PK2l7WJ3RER9xtqwdhxkhw/edit?usp=sharing"",""ชลบุรี!I181"")"),0)</f>
        <v>0</v>
      </c>
      <c r="J266" s="189">
        <f ca="1">IFERROR(__xludf.DUMMYFUNCTION("IMPORTRANGE(""https://docs.google.com/spreadsheets/d/1SX6NBoVAgQJ6U1MVXOaj8PK2l7WJ3RER9xtqwdhxkhw/edit?usp=sharing"",""ชลบุรี!J181"")"),0)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IFERROR(__xludf.DUMMYFUNCTION("IMPORTRANGE(""https://docs.google.com/spreadsheets/d/1SX6NBoVAgQJ6U1MVXOaj8PK2l7WJ3RER9xtqwdhxkhw/edit?usp=sharing"",""ชลบุรี!I182"")"),0)</f>
        <v>0</v>
      </c>
      <c r="J267" s="189">
        <f ca="1">IFERROR(__xludf.DUMMYFUNCTION("IMPORTRANGE(""https://docs.google.com/spreadsheets/d/1SX6NBoVAgQJ6U1MVXOaj8PK2l7WJ3RER9xtqwdhxkhw/edit?usp=sharing"",""ชลบุรี!J182"")"),0)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IFERROR(__xludf.DUMMYFUNCTION("IMPORTRANGE(""https://docs.google.com/spreadsheets/d/1SX6NBoVAgQJ6U1MVXOaj8PK2l7WJ3RER9xtqwdhxkhw/edit?usp=sharing"",""ชลบุรี!J183"")"),0)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IFERROR(__xludf.DUMMYFUNCTION("IMPORTRANGE(""https://docs.google.com/spreadsheets/d/1SX6NBoVAgQJ6U1MVXOaj8PK2l7WJ3RER9xtqwdhxkhw/edit?usp=sharing"",""ชลบุรี!J184"")"),0)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IFERROR(__xludf.DUMMYFUNCTION("IMPORTRANGE(""https://docs.google.com/spreadsheets/d/1SX6NBoVAgQJ6U1MVXOaj8PK2l7WJ3RER9xtqwdhxkhw/edit?usp=sharing"",""ชลบุรี!I185"")"),15)</f>
        <v>15</v>
      </c>
      <c r="J270" s="317">
        <f ca="1">IFERROR(__xludf.DUMMYFUNCTION("IMPORTRANGE(""https://docs.google.com/spreadsheets/d/1SX6NBoVAgQJ6U1MVXOaj8PK2l7WJ3RER9xtqwdhxkhw/edit?usp=sharing"",""ชลบุรี!J185"")"),15)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43280</v>
      </c>
      <c r="O271" s="151">
        <f t="shared" ref="O271:O273" ca="1" si="84">IF(L271&gt;0,N271*100/L271,0)</f>
        <v>78.405797101449281</v>
      </c>
      <c r="P271" s="151">
        <f t="shared" ref="P271:P273" ca="1" si="85">IF(M271&gt;0,N271*100/M271,0)</f>
        <v>78.405797101449281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43280</v>
      </c>
      <c r="O273" s="156">
        <f t="shared" ca="1" si="84"/>
        <v>78.405797101449281</v>
      </c>
      <c r="P273" s="156">
        <f t="shared" ca="1" si="85"/>
        <v>78.405797101449281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IFERROR(__xludf.DUMMYFUNCTION("IMPORTRANGE(""https://docs.google.com/spreadsheets/d/1Yj_ptqi66GCucihVvJfMjLAmec39IyEx_6qawtMGysU/edit?usp=sharing"",""สบก!CK62"")"),55200)</f>
        <v>55200</v>
      </c>
      <c r="N275" s="169">
        <f ca="1">IFERROR(__xludf.DUMMYFUNCTION("IMPORTRANGE(""https://docs.google.com/spreadsheets/d/1Yj_ptqi66GCucihVvJfMjLAmec39IyEx_6qawtMGysU/edit?usp=sharing"",""สบก!CL62"")"),43280)</f>
        <v>43280</v>
      </c>
      <c r="O275" s="169">
        <f ca="1">IF(L275&gt;0,N275*100/L275,0)</f>
        <v>78.405797101449281</v>
      </c>
      <c r="P275" s="169">
        <f ca="1">IF(M275&gt;0,N275*100/M275,0)</f>
        <v>78.405797101449281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IFERROR(__xludf.DUMMYFUNCTION("IMPORTRANGE(""https://docs.google.com/spreadsheets/d/1Yj_ptqi66GCucihVvJfMjLAmec39IyEx_6qawtMGysU/edit?usp=sharing"",""สบก!CI62"")"),0)</f>
        <v>0</v>
      </c>
      <c r="M279" s="49"/>
      <c r="N279" s="49">
        <f ca="1">IFERROR(__xludf.DUMMYFUNCTION("IMPORTRANGE(""https://docs.google.com/spreadsheets/d/1Yj_ptqi66GCucihVvJfMjLAmec39IyEx_6qawtMGysU/edit?usp=sharing"",""สบก!CM62"")"),0)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IFERROR(__xludf.DUMMYFUNCTION("IMPORTRANGE(""https://docs.google.com/spreadsheets/d/1SX6NBoVAgQJ6U1MVXOaj8PK2l7WJ3RER9xtqwdhxkhw/edit?usp=sharing"",""ชลบุรี!J191"")"),0)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IFERROR(__xludf.DUMMYFUNCTION("IMPORTRANGE(""https://docs.google.com/spreadsheets/d/1SX6NBoVAgQJ6U1MVXOaj8PK2l7WJ3RER9xtqwdhxkhw/edit?usp=sharing"",""ชลบุรี!J192"")"),1)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IFERROR(__xludf.DUMMYFUNCTION("IMPORTRANGE(""https://docs.google.com/spreadsheets/d/1SX6NBoVAgQJ6U1MVXOaj8PK2l7WJ3RER9xtqwdhxkhw/edit?usp=sharing"",""ชลบุรี!J193"")"),1)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IFERROR(__xludf.DUMMYFUNCTION("IMPORTRANGE(""https://docs.google.com/spreadsheets/d/1SX6NBoVAgQJ6U1MVXOaj8PK2l7WJ3RER9xtqwdhxkhw/edit?usp=sharing"",""ชลบุรี!J194"")"),1)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IFERROR(__xludf.DUMMYFUNCTION("IMPORTRANGE(""https://docs.google.com/spreadsheets/d/1SX6NBoVAgQJ6U1MVXOaj8PK2l7WJ3RER9xtqwdhxkhw/edit?usp=sharing"",""ชลบุรี!I195"")"),15)</f>
        <v>15</v>
      </c>
      <c r="J285" s="189">
        <f ca="1">IFERROR(__xludf.DUMMYFUNCTION("IMPORTRANGE(""https://docs.google.com/spreadsheets/d/1SX6NBoVAgQJ6U1MVXOaj8PK2l7WJ3RER9xtqwdhxkhw/edit?usp=sharing"",""ชลบุรี!J195"")"),15)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IFERROR(__xludf.DUMMYFUNCTION("IMPORTRANGE(""https://docs.google.com/spreadsheets/d/1SX6NBoVAgQJ6U1MVXOaj8PK2l7WJ3RER9xtqwdhxkhw/edit?usp=sharing"",""ชลบุรี!J196"")"),0)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IFERROR(__xludf.DUMMYFUNCTION("IMPORTRANGE(""https://docs.google.com/spreadsheets/d/1SX6NBoVAgQJ6U1MVXOaj8PK2l7WJ3RER9xtqwdhxkhw/edit?usp=sharing"",""ชลบุรี!J197"")"),0)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IFERROR(__xludf.DUMMYFUNCTION("IMPORTRANGE(""https://docs.google.com/spreadsheets/d/1SX6NBoVAgQJ6U1MVXOaj8PK2l7WJ3RER9xtqwdhxkhw/edit?usp=sharing"",""ชลบุรี!I199"")"),30)</f>
        <v>30</v>
      </c>
      <c r="J289" s="317">
        <f ca="1">IFERROR(__xludf.DUMMYFUNCTION("IMPORTRANGE(""https://docs.google.com/spreadsheets/d/1SX6NBoVAgQJ6U1MVXOaj8PK2l7WJ3RER9xtqwdhxkhw/edit?usp=sharing"",""ชลบุรี!J199"")"),30)</f>
        <v>30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96320</v>
      </c>
      <c r="M290" s="152">
        <f t="shared" ca="1" si="88"/>
        <v>96320</v>
      </c>
      <c r="N290" s="152">
        <f t="shared" ca="1" si="88"/>
        <v>93680</v>
      </c>
      <c r="O290" s="151">
        <f t="shared" ref="O290:O292" ca="1" si="89">IF(L290&gt;0,N290*100/L290,0)</f>
        <v>97.259136212624583</v>
      </c>
      <c r="P290" s="151">
        <f t="shared" ref="P290:P292" ca="1" si="90">IF(M290&gt;0,N290*100/M290,0)</f>
        <v>97.259136212624583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96320</v>
      </c>
      <c r="M292" s="157">
        <f t="shared" ca="1" si="92"/>
        <v>96320</v>
      </c>
      <c r="N292" s="157">
        <f t="shared" ca="1" si="92"/>
        <v>93680</v>
      </c>
      <c r="O292" s="156">
        <f t="shared" ca="1" si="89"/>
        <v>97.259136212624583</v>
      </c>
      <c r="P292" s="156">
        <f t="shared" ca="1" si="90"/>
        <v>97.259136212624583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96320</v>
      </c>
      <c r="M294" s="168">
        <f ca="1">IFERROR(__xludf.DUMMYFUNCTION("IMPORTRANGE(""https://docs.google.com/spreadsheets/d/1Yj_ptqi66GCucihVvJfMjLAmec39IyEx_6qawtMGysU/edit?usp=sharing"",""สบก!CT62"")"),96320)</f>
        <v>96320</v>
      </c>
      <c r="N294" s="169">
        <f ca="1">IFERROR(__xludf.DUMMYFUNCTION("IMPORTRANGE(""https://docs.google.com/spreadsheets/d/1Yj_ptqi66GCucihVvJfMjLAmec39IyEx_6qawtMGysU/edit?usp=sharing"",""สบก!CU62"")"),93680)</f>
        <v>93680</v>
      </c>
      <c r="O294" s="169">
        <f ca="1">IF(L294&gt;0,N294*100/L294,0)</f>
        <v>97.259136212624583</v>
      </c>
      <c r="P294" s="169">
        <f ca="1">IF(M294&gt;0,N294*100/M294,0)</f>
        <v>97.259136212624583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IFERROR(__xludf.DUMMYFUNCTION("IMPORTRANGE(""https://docs.google.com/spreadsheets/d/1Yj_ptqi66GCucihVvJfMjLAmec39IyEx_6qawtMGysU/edit?usp=sharing"",""สบก!CQ62"")"),96320)</f>
        <v>96320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IFERROR(__xludf.DUMMYFUNCTION("IMPORTRANGE(""https://docs.google.com/spreadsheets/d/1Yj_ptqi66GCucihVvJfMjLAmec39IyEx_6qawtMGysU/edit?usp=sharing"",""สบก!CR62"")"),0)</f>
        <v>0</v>
      </c>
      <c r="M298" s="49"/>
      <c r="N298" s="49">
        <f ca="1">IFERROR(__xludf.DUMMYFUNCTION("IMPORTRANGE(""https://docs.google.com/spreadsheets/d/1Yj_ptqi66GCucihVvJfMjLAmec39IyEx_6qawtMGysU/edit?usp=sharing"",""สบก!CV62"")"),0)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IFERROR(__xludf.DUMMYFUNCTION("IMPORTRANGE(""https://docs.google.com/spreadsheets/d/1SX6NBoVAgQJ6U1MVXOaj8PK2l7WJ3RER9xtqwdhxkhw/edit?usp=sharing"",""ชลบุรี!J205"")"),0)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IFERROR(__xludf.DUMMYFUNCTION("IMPORTRANGE(""https://docs.google.com/spreadsheets/d/1SX6NBoVAgQJ6U1MVXOaj8PK2l7WJ3RER9xtqwdhxkhw/edit?usp=sharing"",""ชลบุรี!J206"")"),1)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IFERROR(__xludf.DUMMYFUNCTION("IMPORTRANGE(""https://docs.google.com/spreadsheets/d/1SX6NBoVAgQJ6U1MVXOaj8PK2l7WJ3RER9xtqwdhxkhw/edit?usp=sharing"",""ชลบุรี!J207"")"),1)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IFERROR(__xludf.DUMMYFUNCTION("IMPORTRANGE(""https://docs.google.com/spreadsheets/d/1SX6NBoVAgQJ6U1MVXOaj8PK2l7WJ3RER9xtqwdhxkhw/edit?usp=sharing"",""ชลบุรี!J208"")"),1)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IFERROR(__xludf.DUMMYFUNCTION("IMPORTRANGE(""https://docs.google.com/spreadsheets/d/1SX6NBoVAgQJ6U1MVXOaj8PK2l7WJ3RER9xtqwdhxkhw/edit?usp=sharing"",""ชลบุรี!I209"")"),30)</f>
        <v>30</v>
      </c>
      <c r="J304" s="204">
        <f ca="1">IFERROR(__xludf.DUMMYFUNCTION("IMPORTRANGE(""https://docs.google.com/spreadsheets/d/1SX6NBoVAgQJ6U1MVXOaj8PK2l7WJ3RER9xtqwdhxkhw/edit?usp=sharing"",""ชลบุรี!J209"")"),30)</f>
        <v>30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IFERROR(__xludf.DUMMYFUNCTION("IMPORTRANGE(""https://docs.google.com/spreadsheets/d/1SX6NBoVAgQJ6U1MVXOaj8PK2l7WJ3RER9xtqwdhxkhw/edit?usp=sharing"",""ชลบุรี!I211"")"),30)</f>
        <v>30</v>
      </c>
      <c r="J306" s="204">
        <f ca="1">IFERROR(__xludf.DUMMYFUNCTION("IMPORTRANGE(""https://docs.google.com/spreadsheets/d/1SX6NBoVAgQJ6U1MVXOaj8PK2l7WJ3RER9xtqwdhxkhw/edit?usp=sharing"",""ชลบุรี!J211"")"),30)</f>
        <v>30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IFERROR(__xludf.DUMMYFUNCTION("IMPORTRANGE(""https://docs.google.com/spreadsheets/d/1SX6NBoVAgQJ6U1MVXOaj8PK2l7WJ3RER9xtqwdhxkhw/edit?usp=sharing"",""ชลบุรี!J212"")"),0)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IFERROR(__xludf.DUMMYFUNCTION("IMPORTRANGE(""https://docs.google.com/spreadsheets/d/1SX6NBoVAgQJ6U1MVXOaj8PK2l7WJ3RER9xtqwdhxkhw/edit?usp=sharing"",""ชลบุรี!J213"")"),0)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IFERROR(__xludf.DUMMYFUNCTION("IMPORTRANGE(""https://docs.google.com/spreadsheets/d/1SX6NBoVAgQJ6U1MVXOaj8PK2l7WJ3RER9xtqwdhxkhw/edit?usp=sharing"",""ชลบุรี!I214"")"),2)</f>
        <v>2</v>
      </c>
      <c r="J309" s="334">
        <f ca="1">IFERROR(__xludf.DUMMYFUNCTION("IMPORTRANGE(""https://docs.google.com/spreadsheets/d/1SX6NBoVAgQJ6U1MVXOaj8PK2l7WJ3RER9xtqwdhxkhw/edit?usp=sharing"",""ชลบุรี!J214"")"),2)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359600</v>
      </c>
      <c r="M310" s="152">
        <f t="shared" ca="1" si="93"/>
        <v>359600</v>
      </c>
      <c r="N310" s="152">
        <f t="shared" ca="1" si="93"/>
        <v>242480</v>
      </c>
      <c r="O310" s="151">
        <f t="shared" ref="O310:O312" ca="1" si="94">IF(L310&gt;0,N310*100/L310,0)</f>
        <v>67.430478309232484</v>
      </c>
      <c r="P310" s="151">
        <f t="shared" ref="P310:P312" ca="1" si="95">IF(M310&gt;0,N310*100/M310,0)</f>
        <v>67.430478309232484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359600</v>
      </c>
      <c r="M312" s="157">
        <f t="shared" ca="1" si="97"/>
        <v>359600</v>
      </c>
      <c r="N312" s="157">
        <f t="shared" ca="1" si="97"/>
        <v>242480</v>
      </c>
      <c r="O312" s="156">
        <f t="shared" ca="1" si="94"/>
        <v>67.430478309232484</v>
      </c>
      <c r="P312" s="156">
        <f t="shared" ca="1" si="95"/>
        <v>67.430478309232484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359600</v>
      </c>
      <c r="M314" s="168">
        <f ca="1">IFERROR(__xludf.DUMMYFUNCTION("IMPORTRANGE(""https://docs.google.com/spreadsheets/d/1Yj_ptqi66GCucihVvJfMjLAmec39IyEx_6qawtMGysU/edit?usp=sharing"",""สบก!DC62"")"),359600)</f>
        <v>359600</v>
      </c>
      <c r="N314" s="169">
        <f ca="1">IFERROR(__xludf.DUMMYFUNCTION("IMPORTRANGE(""https://docs.google.com/spreadsheets/d/1Yj_ptqi66GCucihVvJfMjLAmec39IyEx_6qawtMGysU/edit?usp=sharing"",""สบก!DD62"")"),242480)</f>
        <v>242480</v>
      </c>
      <c r="O314" s="169">
        <f ca="1">IF(L314&gt;0,N314*100/L314,0)</f>
        <v>67.430478309232484</v>
      </c>
      <c r="P314" s="169">
        <f ca="1">IF(M314&gt;0,N314*100/M314,0)</f>
        <v>67.430478309232484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IFERROR(__xludf.DUMMYFUNCTION("IMPORTRANGE(""https://docs.google.com/spreadsheets/d/1Yj_ptqi66GCucihVvJfMjLAmec39IyEx_6qawtMGysU/edit?usp=sharing"",""สบก!CZ62"")"),359600)</f>
        <v>359600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IFERROR(__xludf.DUMMYFUNCTION("IMPORTRANGE(""https://docs.google.com/spreadsheets/d/1Yj_ptqi66GCucihVvJfMjLAmec39IyEx_6qawtMGysU/edit?usp=sharing"",""สบก!DA62"")"),0)</f>
        <v>0</v>
      </c>
      <c r="M318" s="49"/>
      <c r="N318" s="49">
        <f ca="1">IFERROR(__xludf.DUMMYFUNCTION("IMPORTRANGE(""https://docs.google.com/spreadsheets/d/1Yj_ptqi66GCucihVvJfMjLAmec39IyEx_6qawtMGysU/edit?usp=sharing"",""สบก!DE62"")"),0)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IFERROR(__xludf.DUMMYFUNCTION("IMPORTRANGE(""https://docs.google.com/spreadsheets/d/1SX6NBoVAgQJ6U1MVXOaj8PK2l7WJ3RER9xtqwdhxkhw/edit?usp=sharing"",""ชลบุรี!J220"")"),0)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IFERROR(__xludf.DUMMYFUNCTION("IMPORTRANGE(""https://docs.google.com/spreadsheets/d/1SX6NBoVAgQJ6U1MVXOaj8PK2l7WJ3RER9xtqwdhxkhw/edit?usp=sharing"",""ชลบุรี!J221"")"),1)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IFERROR(__xludf.DUMMYFUNCTION("IMPORTRANGE(""https://docs.google.com/spreadsheets/d/1SX6NBoVAgQJ6U1MVXOaj8PK2l7WJ3RER9xtqwdhxkhw/edit?usp=sharing"",""ชลบุรี!J222"")"),1)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IFERROR(__xludf.DUMMYFUNCTION("IMPORTRANGE(""https://docs.google.com/spreadsheets/d/1SX6NBoVAgQJ6U1MVXOaj8PK2l7WJ3RER9xtqwdhxkhw/edit?usp=sharing"",""ชลบุรี!J223"")"),1)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IFERROR(__xludf.DUMMYFUNCTION("IMPORTRANGE(""https://docs.google.com/spreadsheets/d/1SX6NBoVAgQJ6U1MVXOaj8PK2l7WJ3RER9xtqwdhxkhw/edit?usp=sharing"",""ชลบุรี!I224"")"),2)</f>
        <v>2</v>
      </c>
      <c r="J324" s="204">
        <f ca="1">IFERROR(__xludf.DUMMYFUNCTION("IMPORTRANGE(""https://docs.google.com/spreadsheets/d/1SX6NBoVAgQJ6U1MVXOaj8PK2l7WJ3RER9xtqwdhxkhw/edit?usp=sharing"",""ชลบุรี!J224"")"),2)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IFERROR(__xludf.DUMMYFUNCTION("IMPORTRANGE(""https://docs.google.com/spreadsheets/d/1SX6NBoVAgQJ6U1MVXOaj8PK2l7WJ3RER9xtqwdhxkhw/edit?usp=sharing"",""ชลบุรี!J225"")"),0)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IFERROR(__xludf.DUMMYFUNCTION("IMPORTRANGE(""https://docs.google.com/spreadsheets/d/1SX6NBoVAgQJ6U1MVXOaj8PK2l7WJ3RER9xtqwdhxkhw/edit?usp=sharing"",""ชลบุรี!J226"")"),0)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IFERROR(__xludf.DUMMYFUNCTION("IMPORTRANGE(""https://docs.google.com/spreadsheets/d/1SX6NBoVAgQJ6U1MVXOaj8PK2l7WJ3RER9xtqwdhxkhw/edit?usp=sharing"",""ชลบุรี!I228"")"),340)</f>
        <v>340</v>
      </c>
      <c r="J328" s="340">
        <f ca="1">IFERROR(__xludf.DUMMYFUNCTION("IMPORTRANGE(""https://docs.google.com/spreadsheets/d/1SX6NBoVAgQJ6U1MVXOaj8PK2l7WJ3RER9xtqwdhxkhw/edit?usp=sharing"",""ชลบุรี!J228"")"),310)</f>
        <v>310</v>
      </c>
      <c r="K328" s="318">
        <f ca="1">IF(I328&gt;0,J328*100/I328,0)</f>
        <v>91.17647058823529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1040200</v>
      </c>
      <c r="M329" s="152">
        <f t="shared" ca="1" si="98"/>
        <v>1075550</v>
      </c>
      <c r="N329" s="152">
        <f t="shared" ca="1" si="98"/>
        <v>889353.77</v>
      </c>
      <c r="O329" s="151">
        <f t="shared" ref="O329:O331" ca="1" si="99">IF(L329&gt;0,N329*100/L329,0)</f>
        <v>85.498343587771586</v>
      </c>
      <c r="P329" s="151">
        <f t="shared" ref="P329:P331" ca="1" si="100">IF(M329&gt;0,N329*100/M329,0)</f>
        <v>82.688277625400957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1040200</v>
      </c>
      <c r="M331" s="157">
        <f t="shared" ca="1" si="102"/>
        <v>1075550</v>
      </c>
      <c r="N331" s="157">
        <f t="shared" ca="1" si="102"/>
        <v>889353.77</v>
      </c>
      <c r="O331" s="156">
        <f t="shared" ca="1" si="99"/>
        <v>85.498343587771586</v>
      </c>
      <c r="P331" s="156">
        <f t="shared" ca="1" si="100"/>
        <v>82.688277625400957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1013200</v>
      </c>
      <c r="M333" s="168">
        <f ca="1">IFERROR(__xludf.DUMMYFUNCTION("IMPORTRANGE(""https://docs.google.com/spreadsheets/d/1Yj_ptqi66GCucihVvJfMjLAmec39IyEx_6qawtMGysU/edit?usp=sharing"",""สบก!DL62"")"),1048550)</f>
        <v>1048550</v>
      </c>
      <c r="N333" s="169">
        <f ca="1">IFERROR(__xludf.DUMMYFUNCTION("IMPORTRANGE(""https://docs.google.com/spreadsheets/d/1Yj_ptqi66GCucihVvJfMjLAmec39IyEx_6qawtMGysU/edit?usp=sharing"",""สบก!DM62"")"),862353.77)</f>
        <v>862353.77</v>
      </c>
      <c r="O333" s="169">
        <f ca="1">IF(L333&gt;0,N333*100/L333,0)</f>
        <v>85.111899921042237</v>
      </c>
      <c r="P333" s="169">
        <f ca="1">IF(M333&gt;0,N333*100/M333,0)</f>
        <v>82.242503457155124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IFERROR(__xludf.DUMMYFUNCTION("IMPORTRANGE(""https://docs.google.com/spreadsheets/d/1Yj_ptqi66GCucihVvJfMjLAmec39IyEx_6qawtMGysU/edit?usp=sharing"",""สบก!DH62"")"),470000)</f>
        <v>470000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IFERROR(__xludf.DUMMYFUNCTION("IMPORTRANGE(""https://docs.google.com/spreadsheets/d/1Yj_ptqi66GCucihVvJfMjLAmec39IyEx_6qawtMGysU/edit?usp=sharing"",""สบก!DI62"")"),543200)</f>
        <v>543200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IFERROR(__xludf.DUMMYFUNCTION("IMPORTRANGE(""https://docs.google.com/spreadsheets/d/1Yj_ptqi66GCucihVvJfMjLAmec39IyEx_6qawtMGysU/edit?usp=sharing"",""สบก!DJ62"")"),27000)</f>
        <v>27000</v>
      </c>
      <c r="M337" s="49">
        <f ca="1">L337</f>
        <v>27000</v>
      </c>
      <c r="N337" s="49">
        <f ca="1">IFERROR(__xludf.DUMMYFUNCTION("IMPORTRANGE(""https://docs.google.com/spreadsheets/d/1Yj_ptqi66GCucihVvJfMjLAmec39IyEx_6qawtMGysU/edit?usp=sharing"",""สบก!DN62"")"),27000)</f>
        <v>27000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IFERROR(__xludf.DUMMYFUNCTION("IMPORTRANGE(""https://docs.google.com/spreadsheets/d/1SX6NBoVAgQJ6U1MVXOaj8PK2l7WJ3RER9xtqwdhxkhw/edit?usp=sharing"",""ชลบุรี!I234"")"),0)</f>
        <v>0</v>
      </c>
      <c r="J339" s="188">
        <f ca="1">IFERROR(__xludf.DUMMYFUNCTION("IMPORTRANGE(""https://docs.google.com/spreadsheets/d/1SX6NBoVAgQJ6U1MVXOaj8PK2l7WJ3RER9xtqwdhxkhw/edit?usp=sharing"",""ชลบุรี!J234"")"),464)</f>
        <v>464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IFERROR(__xludf.DUMMYFUNCTION("IMPORTRANGE(""https://docs.google.com/spreadsheets/d/1SX6NBoVAgQJ6U1MVXOaj8PK2l7WJ3RER9xtqwdhxkhw/edit?usp=sharing"",""ชลบุรี!I235"")"),4200)</f>
        <v>4200</v>
      </c>
      <c r="J340" s="188">
        <f ca="1">IFERROR(__xludf.DUMMYFUNCTION("IMPORTRANGE(""https://docs.google.com/spreadsheets/d/1SX6NBoVAgQJ6U1MVXOaj8PK2l7WJ3RER9xtqwdhxkhw/edit?usp=sharing"",""ชลบุรี!J235"")"),5161.79)</f>
        <v>5161.79</v>
      </c>
      <c r="K340" s="343">
        <f t="shared" ca="1" si="103"/>
        <v>122.8997619047619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IFERROR(__xludf.DUMMYFUNCTION("IMPORTRANGE(""https://docs.google.com/spreadsheets/d/1SX6NBoVAgQJ6U1MVXOaj8PK2l7WJ3RER9xtqwdhxkhw/edit?usp=sharing"",""ชลบุรี!I236"")"),340)</f>
        <v>340</v>
      </c>
      <c r="J341" s="188">
        <f ca="1">IFERROR(__xludf.DUMMYFUNCTION("IMPORTRANGE(""https://docs.google.com/spreadsheets/d/1SX6NBoVAgQJ6U1MVXOaj8PK2l7WJ3RER9xtqwdhxkhw/edit?usp=sharing"",""ชลบุรี!J236"")"),322)</f>
        <v>322</v>
      </c>
      <c r="K341" s="343">
        <f t="shared" ca="1" si="103"/>
        <v>94.705882352941174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IFERROR(__xludf.DUMMYFUNCTION("IMPORTRANGE(""https://docs.google.com/spreadsheets/d/1SX6NBoVAgQJ6U1MVXOaj8PK2l7WJ3RER9xtqwdhxkhw/edit?usp=sharing"",""ชลบุรี!I237"")"),0)</f>
        <v>0</v>
      </c>
      <c r="J342" s="188">
        <f ca="1">IFERROR(__xludf.DUMMYFUNCTION("IMPORTRANGE(""https://docs.google.com/spreadsheets/d/1SX6NBoVAgQJ6U1MVXOaj8PK2l7WJ3RER9xtqwdhxkhw/edit?usp=sharing"",""ชลบุรี!J237"")"),3776.49)</f>
        <v>3776.49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IFERROR(__xludf.DUMMYFUNCTION("IMPORTRANGE(""https://docs.google.com/spreadsheets/d/1SX6NBoVAgQJ6U1MVXOaj8PK2l7WJ3RER9xtqwdhxkhw/edit?usp=sharing"",""ชลบุรี!I238"")"),340)</f>
        <v>340</v>
      </c>
      <c r="J343" s="188">
        <f ca="1">IFERROR(__xludf.DUMMYFUNCTION("IMPORTRANGE(""https://docs.google.com/spreadsheets/d/1SX6NBoVAgQJ6U1MVXOaj8PK2l7WJ3RER9xtqwdhxkhw/edit?usp=sharing"",""ชลบุรี!J238"")"),0)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IFERROR(__xludf.DUMMYFUNCTION("IMPORTRANGE(""https://docs.google.com/spreadsheets/d/1SX6NBoVAgQJ6U1MVXOaj8PK2l7WJ3RER9xtqwdhxkhw/edit?usp=sharing"",""ชลบุรี!I239"")"),0)</f>
        <v>0</v>
      </c>
      <c r="J344" s="188">
        <f ca="1">IFERROR(__xludf.DUMMYFUNCTION("IMPORTRANGE(""https://docs.google.com/spreadsheets/d/1SX6NBoVAgQJ6U1MVXOaj8PK2l7WJ3RER9xtqwdhxkhw/edit?usp=sharing"",""ชลบุรี!J239"")"),0)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IFERROR(__xludf.DUMMYFUNCTION("IMPORTRANGE(""https://docs.google.com/spreadsheets/d/1SX6NBoVAgQJ6U1MVXOaj8PK2l7WJ3RER9xtqwdhxkhw/edit?usp=sharing"",""ชลบุรี!I240"")"),340)</f>
        <v>340</v>
      </c>
      <c r="J345" s="188">
        <f ca="1">IFERROR(__xludf.DUMMYFUNCTION("IMPORTRANGE(""https://docs.google.com/spreadsheets/d/1SX6NBoVAgQJ6U1MVXOaj8PK2l7WJ3RER9xtqwdhxkhw/edit?usp=sharing"",""ชลบุรี!J240"")"),310)</f>
        <v>310</v>
      </c>
      <c r="K345" s="343">
        <f t="shared" ca="1" si="103"/>
        <v>91.17647058823529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IFERROR(__xludf.DUMMYFUNCTION("IMPORTRANGE(""https://docs.google.com/spreadsheets/d/1SX6NBoVAgQJ6U1MVXOaj8PK2l7WJ3RER9xtqwdhxkhw/edit?usp=sharing"",""ชลบุรี!I241"")"),0)</f>
        <v>0</v>
      </c>
      <c r="J346" s="188">
        <f ca="1">IFERROR(__xludf.DUMMYFUNCTION("IMPORTRANGE(""https://docs.google.com/spreadsheets/d/1SX6NBoVAgQJ6U1MVXOaj8PK2l7WJ3RER9xtqwdhxkhw/edit?usp=sharing"",""ชลบุรี!J241"")"),3369.9)</f>
        <v>3369.9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IFERROR(__xludf.DUMMYFUNCTION("IMPORTRANGE(""https://docs.google.com/spreadsheets/d/1SX6NBoVAgQJ6U1MVXOaj8PK2l7WJ3RER9xtqwdhxkhw/edit?usp=sharing"",""ชลบุรี!L242"")"),1672035)</f>
        <v>1672035</v>
      </c>
      <c r="M347" s="358"/>
      <c r="N347" s="358">
        <f ca="1">IFERROR(__xludf.DUMMYFUNCTION("IMPORTRANGE(""https://docs.google.com/spreadsheets/d/1SX6NBoVAgQJ6U1MVXOaj8PK2l7WJ3RER9xtqwdhxkhw/edit?usp=sharing"",""ชลบุรี!M242"")"),578385.74)</f>
        <v>578385.74</v>
      </c>
      <c r="O347" s="358">
        <f ca="1">+IF(L347&gt;0,N347*100/L347,0)</f>
        <v>34.591724455528741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IFERROR(__xludf.DUMMYFUNCTION("IMPORTRANGE(""https://docs.google.com/spreadsheets/d/1SX6NBoVAgQJ6U1MVXOaj8PK2l7WJ3RER9xtqwdhxkhw/edit?usp=sharing"",""ชลบุรี!I244"")"),20)</f>
        <v>20</v>
      </c>
      <c r="J349" s="371">
        <f ca="1">IFERROR(__xludf.DUMMYFUNCTION("IMPORTRANGE(""https://docs.google.com/spreadsheets/d/1SX6NBoVAgQJ6U1MVXOaj8PK2l7WJ3RER9xtqwdhxkhw/edit?usp=sharing"",""ชลบุรี!J244"")"),20)</f>
        <v>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IFERROR(__xludf.DUMMYFUNCTION("IMPORTRANGE(""https://docs.google.com/spreadsheets/d/1SX6NBoVAgQJ6U1MVXOaj8PK2l7WJ3RER9xtqwdhxkhw/edit?usp=sharing"",""ชลบุรี!L244"")"),221120)</f>
        <v>221120</v>
      </c>
      <c r="M349" s="373"/>
      <c r="N349" s="373">
        <f ca="1">IFERROR(__xludf.DUMMYFUNCTION("IMPORTRANGE(""https://docs.google.com/spreadsheets/d/1SX6NBoVAgQJ6U1MVXOaj8PK2l7WJ3RER9xtqwdhxkhw/edit?usp=sharing"",""ชลบุรี!M244"")"),150773)</f>
        <v>150773</v>
      </c>
      <c r="O349" s="373">
        <f ca="1">+IF(L349&gt;0,N349*100/L349,0)</f>
        <v>68.186052821997109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IFERROR(__xludf.DUMMYFUNCTION("IMPORTRANGE(""https://docs.google.com/spreadsheets/d/1SX6NBoVAgQJ6U1MVXOaj8PK2l7WJ3RER9xtqwdhxkhw/edit?usp=sharing"",""ชลบุรี!I245"")"),20)</f>
        <v>20</v>
      </c>
      <c r="J350" s="371">
        <f ca="1">IFERROR(__xludf.DUMMYFUNCTION("IMPORTRANGE(""https://docs.google.com/spreadsheets/d/1SX6NBoVAgQJ6U1MVXOaj8PK2l7WJ3RER9xtqwdhxkhw/edit?usp=sharing"",""ชลบุรี!J245"")"),20)</f>
        <v>20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IFERROR(__xludf.DUMMYFUNCTION("IMPORTRANGE(""https://docs.google.com/spreadsheets/d/1SX6NBoVAgQJ6U1MVXOaj8PK2l7WJ3RER9xtqwdhxkhw/edit?usp=sharing"",""ชลบุรี!L246"")"),0)</f>
        <v>0</v>
      </c>
      <c r="M351" s="164"/>
      <c r="N351" s="164">
        <f ca="1">IFERROR(__xludf.DUMMYFUNCTION("IMPORTRANGE(""https://docs.google.com/spreadsheets/d/1SX6NBoVAgQJ6U1MVXOaj8PK2l7WJ3RER9xtqwdhxkhw/edit?usp=sharing"",""ชลบุรี!M246"")"),0)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IFERROR(__xludf.DUMMYFUNCTION("IMPORTRANGE(""https://docs.google.com/spreadsheets/d/1SX6NBoVAgQJ6U1MVXOaj8PK2l7WJ3RER9xtqwdhxkhw/edit?usp=sharing"",""ชลบุรี!L247"")"),221120)</f>
        <v>221120</v>
      </c>
      <c r="M352" s="165"/>
      <c r="N352" s="164">
        <f ca="1">IFERROR(__xludf.DUMMYFUNCTION("IMPORTRANGE(""https://docs.google.com/spreadsheets/d/1SX6NBoVAgQJ6U1MVXOaj8PK2l7WJ3RER9xtqwdhxkhw/edit?usp=sharing"",""ชลบุรี!M247"")"),150773)</f>
        <v>150773</v>
      </c>
      <c r="O352" s="165">
        <f t="shared" ca="1" si="105"/>
        <v>68.186052821997109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IFERROR(__xludf.DUMMYFUNCTION("IMPORTRANGE(""https://docs.google.com/spreadsheets/d/1SX6NBoVAgQJ6U1MVXOaj8PK2l7WJ3RER9xtqwdhxkhw/edit?usp=sharing"",""ชลบุรี!L248"")"),0)</f>
        <v>0</v>
      </c>
      <c r="M353" s="169"/>
      <c r="N353" s="169">
        <f ca="1">IFERROR(__xludf.DUMMYFUNCTION("IMPORTRANGE(""https://docs.google.com/spreadsheets/d/1SX6NBoVAgQJ6U1MVXOaj8PK2l7WJ3RER9xtqwdhxkhw/edit?usp=sharing"",""ชลบุรี!M248"")"),0)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IFERROR(__xludf.DUMMYFUNCTION("IMPORTRANGE(""https://docs.google.com/spreadsheets/d/1SX6NBoVAgQJ6U1MVXOaj8PK2l7WJ3RER9xtqwdhxkhw/edit?usp=sharing"",""ชลบุรี!L249"")"),221120)</f>
        <v>221120</v>
      </c>
      <c r="M354" s="169"/>
      <c r="N354" s="168">
        <f ca="1">IFERROR(__xludf.DUMMYFUNCTION("IMPORTRANGE(""https://docs.google.com/spreadsheets/d/1SX6NBoVAgQJ6U1MVXOaj8PK2l7WJ3RER9xtqwdhxkhw/edit?usp=sharing"",""ชลบุรี!M249"")"),150773)</f>
        <v>150773</v>
      </c>
      <c r="O354" s="169">
        <f t="shared" ca="1" si="105"/>
        <v>68.186052821997109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IFERROR(__xludf.DUMMYFUNCTION("IMPORTRANGE(""https://docs.google.com/spreadsheets/d/1SX6NBoVAgQJ6U1MVXOaj8PK2l7WJ3RER9xtqwdhxkhw/edit?usp=sharing"",""ชลบุรี!M250"")"),21150)</f>
        <v>21150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IFERROR(__xludf.DUMMYFUNCTION("IMPORTRANGE(""https://docs.google.com/spreadsheets/d/1SX6NBoVAgQJ6U1MVXOaj8PK2l7WJ3RER9xtqwdhxkhw/edit?usp=sharing"",""ชลบุรี!M251"")"),19000)</f>
        <v>19000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IFERROR(__xludf.DUMMYFUNCTION("IMPORTRANGE(""https://docs.google.com/spreadsheets/d/1SX6NBoVAgQJ6U1MVXOaj8PK2l7WJ3RER9xtqwdhxkhw/edit?usp=sharing"",""ชลบุรี!M252"")"),98633)</f>
        <v>98633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IFERROR(__xludf.DUMMYFUNCTION("IMPORTRANGE(""https://docs.google.com/spreadsheets/d/1SX6NBoVAgQJ6U1MVXOaj8PK2l7WJ3RER9xtqwdhxkhw/edit?usp=sharing"",""ชลบุรี!M253"")"),11990)</f>
        <v>11990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IFERROR(__xludf.DUMMYFUNCTION("IMPORTRANGE(""https://docs.google.com/spreadsheets/d/1SX6NBoVAgQJ6U1MVXOaj8PK2l7WJ3RER9xtqwdhxkhw/edit?usp=sharing"",""ชลบุรี!J255"")"),0)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IFERROR(__xludf.DUMMYFUNCTION("IMPORTRANGE(""https://docs.google.com/spreadsheets/d/1SX6NBoVAgQJ6U1MVXOaj8PK2l7WJ3RER9xtqwdhxkhw/edit?usp=sharing"",""ชลบุรี!J256"")"),1)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IFERROR(__xludf.DUMMYFUNCTION("IMPORTRANGE(""https://docs.google.com/spreadsheets/d/1SX6NBoVAgQJ6U1MVXOaj8PK2l7WJ3RER9xtqwdhxkhw/edit?usp=sharing"",""ชลบุรี!J257"")"),0)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IFERROR(__xludf.DUMMYFUNCTION("IMPORTRANGE(""https://docs.google.com/spreadsheets/d/1SX6NBoVAgQJ6U1MVXOaj8PK2l7WJ3RER9xtqwdhxkhw/edit?usp=sharing"",""ชลบุรี!J258"")"),0)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IFERROR(__xludf.DUMMYFUNCTION("IMPORTRANGE(""https://docs.google.com/spreadsheets/d/1SX6NBoVAgQJ6U1MVXOaj8PK2l7WJ3RER9xtqwdhxkhw/edit?usp=sharing"",""ชลบุรี!J166"")"),0)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IFERROR(__xludf.DUMMYFUNCTION("IMPORTRANGE(""https://docs.google.com/spreadsheets/d/1SX6NBoVAgQJ6U1MVXOaj8PK2l7WJ3RER9xtqwdhxkhw/edit?usp=sharing"",""ชลบุรี!J166"")"),0)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IFERROR(__xludf.DUMMYFUNCTION("IMPORTRANGE(""https://docs.google.com/spreadsheets/d/1SX6NBoVAgQJ6U1MVXOaj8PK2l7WJ3RER9xtqwdhxkhw/edit?usp=sharing"",""ชลบุรี!J166"")"),0)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IFERROR(__xludf.DUMMYFUNCTION("IMPORTRANGE(""https://docs.google.com/spreadsheets/d/1SX6NBoVAgQJ6U1MVXOaj8PK2l7WJ3RER9xtqwdhxkhw/edit?usp=sharing"",""ชลบุรี!J166"")"),0)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IFERROR(__xludf.DUMMYFUNCTION("IMPORTRANGE(""https://docs.google.com/spreadsheets/d/1SX6NBoVAgQJ6U1MVXOaj8PK2l7WJ3RER9xtqwdhxkhw/edit?usp=sharing"",""ชลบุรี!I263"")"),20)</f>
        <v>20</v>
      </c>
      <c r="J368" s="188">
        <f ca="1">IFERROR(__xludf.DUMMYFUNCTION("IMPORTRANGE(""https://docs.google.com/spreadsheets/d/1SX6NBoVAgQJ6U1MVXOaj8PK2l7WJ3RER9xtqwdhxkhw/edit?usp=sharing"",""ชลบุรี!J263"")"),20)</f>
        <v>20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IFERROR(__xludf.DUMMYFUNCTION("IMPORTRANGE(""https://docs.google.com/spreadsheets/d/1SX6NBoVAgQJ6U1MVXOaj8PK2l7WJ3RER9xtqwdhxkhw/edit?usp=sharing"",""ชลบุรี!I164"")"),0)</f>
        <v>0</v>
      </c>
      <c r="J369" s="204">
        <f ca="1">IFERROR(__xludf.DUMMYFUNCTION("IMPORTRANGE(""https://docs.google.com/spreadsheets/d/1SX6NBoVAgQJ6U1MVXOaj8PK2l7WJ3RER9xtqwdhxkhw/edit?usp=sharing"",""ชลบุรี!J164"")"),0)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IFERROR(__xludf.DUMMYFUNCTION("IMPORTRANGE(""https://docs.google.com/spreadsheets/d/1SX6NBoVAgQJ6U1MVXOaj8PK2l7WJ3RER9xtqwdhxkhw/edit?usp=sharing"",""ชลบุรี!I265"")"),20)</f>
        <v>20</v>
      </c>
      <c r="J370" s="204">
        <f ca="1">IFERROR(__xludf.DUMMYFUNCTION("IMPORTRANGE(""https://docs.google.com/spreadsheets/d/1SX6NBoVAgQJ6U1MVXOaj8PK2l7WJ3RER9xtqwdhxkhw/edit?usp=sharing"",""ชลบุรี!J265"")"),20)</f>
        <v>20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IFERROR(__xludf.DUMMYFUNCTION("IMPORTRANGE(""https://docs.google.com/spreadsheets/d/1SX6NBoVAgQJ6U1MVXOaj8PK2l7WJ3RER9xtqwdhxkhw/edit?usp=sharing"",""ชลบุรี!I164"")"),0)</f>
        <v>0</v>
      </c>
      <c r="J371" s="189">
        <f ca="1">IFERROR(__xludf.DUMMYFUNCTION("IMPORTRANGE(""https://docs.google.com/spreadsheets/d/1SX6NBoVAgQJ6U1MVXOaj8PK2l7WJ3RER9xtqwdhxkhw/edit?usp=sharing"",""ชลบุรี!J164"")"),0)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IFERROR(__xludf.DUMMYFUNCTION("IMPORTRANGE(""https://docs.google.com/spreadsheets/d/1SX6NBoVAgQJ6U1MVXOaj8PK2l7WJ3RER9xtqwdhxkhw/edit?usp=sharing"",""ชลบุรี!I267"")"),20)</f>
        <v>20</v>
      </c>
      <c r="J372" s="189">
        <f ca="1">IFERROR(__xludf.DUMMYFUNCTION("IMPORTRANGE(""https://docs.google.com/spreadsheets/d/1SX6NBoVAgQJ6U1MVXOaj8PK2l7WJ3RER9xtqwdhxkhw/edit?usp=sharing"",""ชลบุรี!J267"")"),0)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IFERROR(__xludf.DUMMYFUNCTION("IMPORTRANGE(""https://docs.google.com/spreadsheets/d/1SX6NBoVAgQJ6U1MVXOaj8PK2l7WJ3RER9xtqwdhxkhw/edit?usp=sharing"",""ชลบุรี!I164"")"),0)</f>
        <v>0</v>
      </c>
      <c r="J373" s="204">
        <f ca="1">IFERROR(__xludf.DUMMYFUNCTION("IMPORTRANGE(""https://docs.google.com/spreadsheets/d/1SX6NBoVAgQJ6U1MVXOaj8PK2l7WJ3RER9xtqwdhxkhw/edit?usp=sharing"",""ชลบุรี!J164"")"),0)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IFERROR(__xludf.DUMMYFUNCTION("IMPORTRANGE(""https://docs.google.com/spreadsheets/d/1SX6NBoVAgQJ6U1MVXOaj8PK2l7WJ3RER9xtqwdhxkhw/edit?usp=sharing"",""ชลบุรี!I164"")"),0)</f>
        <v>0</v>
      </c>
      <c r="J374" s="188">
        <f ca="1">IFERROR(__xludf.DUMMYFUNCTION("IMPORTRANGE(""https://docs.google.com/spreadsheets/d/1SX6NBoVAgQJ6U1MVXOaj8PK2l7WJ3RER9xtqwdhxkhw/edit?usp=sharing"",""ชลบุรี!J164"")"),0)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IFERROR(__xludf.DUMMYFUNCTION("IMPORTRANGE(""https://docs.google.com/spreadsheets/d/1SX6NBoVAgQJ6U1MVXOaj8PK2l7WJ3RER9xtqwdhxkhw/edit?usp=sharing"",""ชลบุรี!I270"")"),20)</f>
        <v>20</v>
      </c>
      <c r="J375" s="188">
        <f ca="1">IFERROR(__xludf.DUMMYFUNCTION("IMPORTRANGE(""https://docs.google.com/spreadsheets/d/1SX6NBoVAgQJ6U1MVXOaj8PK2l7WJ3RER9xtqwdhxkhw/edit?usp=sharing"",""ชลบุรี!J270"")"),20)</f>
        <v>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IFERROR(__xludf.DUMMYFUNCTION("IMPORTRANGE(""https://docs.google.com/spreadsheets/d/1SX6NBoVAgQJ6U1MVXOaj8PK2l7WJ3RER9xtqwdhxkhw/edit?usp=sharing"",""ชลบุรี!I271"")"),0)</f>
        <v>0</v>
      </c>
      <c r="J376" s="189">
        <f ca="1">IFERROR(__xludf.DUMMYFUNCTION("IMPORTRANGE(""https://docs.google.com/spreadsheets/d/1SX6NBoVAgQJ6U1MVXOaj8PK2l7WJ3RER9xtqwdhxkhw/edit?usp=sharing"",""ชลบุรี!J271"")"),0)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IFERROR(__xludf.DUMMYFUNCTION("IMPORTRANGE(""https://docs.google.com/spreadsheets/d/1SX6NBoVAgQJ6U1MVXOaj8PK2l7WJ3RER9xtqwdhxkhw/edit?usp=sharing"",""ชลบุรี!I272"")"),20)</f>
        <v>20</v>
      </c>
      <c r="J377" s="204">
        <f ca="1">IFERROR(__xludf.DUMMYFUNCTION("IMPORTRANGE(""https://docs.google.com/spreadsheets/d/1SX6NBoVAgQJ6U1MVXOaj8PK2l7WJ3RER9xtqwdhxkhw/edit?usp=sharing"",""ชลบุรี!J272"")"),20)</f>
        <v>20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IFERROR(__xludf.DUMMYFUNCTION("IMPORTRANGE(""https://docs.google.com/spreadsheets/d/1SX6NBoVAgQJ6U1MVXOaj8PK2l7WJ3RER9xtqwdhxkhw/edit?usp=sharing"",""ชลบุรี!J273"")"),0)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IFERROR(__xludf.DUMMYFUNCTION("IMPORTRANGE(""https://docs.google.com/spreadsheets/d/1SX6NBoVAgQJ6U1MVXOaj8PK2l7WJ3RER9xtqwdhxkhw/edit?usp=sharing"",""ชลบุรี!J274"")"),0)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IFERROR(__xludf.DUMMYFUNCTION("IMPORTRANGE(""https://docs.google.com/spreadsheets/d/1SX6NBoVAgQJ6U1MVXOaj8PK2l7WJ3RER9xtqwdhxkhw/edit?usp=sharing"",""ชลบุรี!I275"")"),500)</f>
        <v>500</v>
      </c>
      <c r="J380" s="371">
        <f ca="1">IFERROR(__xludf.DUMMYFUNCTION("IMPORTRANGE(""https://docs.google.com/spreadsheets/d/1SX6NBoVAgQJ6U1MVXOaj8PK2l7WJ3RER9xtqwdhxkhw/edit?usp=sharing"",""ชลบุรี!J275"")"),0)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IFERROR(__xludf.DUMMYFUNCTION("IMPORTRANGE(""https://docs.google.com/spreadsheets/d/1SX6NBoVAgQJ6U1MVXOaj8PK2l7WJ3RER9xtqwdhxkhw/edit?usp=sharing"",""ชลบุรี!L275"")"),460140)</f>
        <v>460140</v>
      </c>
      <c r="M380" s="373"/>
      <c r="N380" s="373">
        <f ca="1">IFERROR(__xludf.DUMMYFUNCTION("IMPORTRANGE(""https://docs.google.com/spreadsheets/d/1SX6NBoVAgQJ6U1MVXOaj8PK2l7WJ3RER9xtqwdhxkhw/edit?usp=sharing"",""ชลบุรี!M275"")"),55203)</f>
        <v>55203</v>
      </c>
      <c r="O380" s="373">
        <f ca="1">+IF(L380&gt;0,N380*100/L380,0)</f>
        <v>11.99700091276568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IFERROR(__xludf.DUMMYFUNCTION("IMPORTRANGE(""https://docs.google.com/spreadsheets/d/1SX6NBoVAgQJ6U1MVXOaj8PK2l7WJ3RER9xtqwdhxkhw/edit?usp=sharing"",""ชลบุรี!I276"")"),50)</f>
        <v>50</v>
      </c>
      <c r="J381" s="371">
        <f ca="1">IFERROR(__xludf.DUMMYFUNCTION("IMPORTRANGE(""https://docs.google.com/spreadsheets/d/1SX6NBoVAgQJ6U1MVXOaj8PK2l7WJ3RER9xtqwdhxkhw/edit?usp=sharing"",""ชลบุรี!J276"")"),50)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IFERROR(__xludf.DUMMYFUNCTION("IMPORTRANGE(""https://docs.google.com/spreadsheets/d/1SX6NBoVAgQJ6U1MVXOaj8PK2l7WJ3RER9xtqwdhxkhw/edit?usp=sharing"",""ชลบุรี!L277"")"),0)</f>
        <v>0</v>
      </c>
      <c r="M382" s="164"/>
      <c r="N382" s="164">
        <f ca="1">IFERROR(__xludf.DUMMYFUNCTION("IMPORTRANGE(""https://docs.google.com/spreadsheets/d/1SX6NBoVAgQJ6U1MVXOaj8PK2l7WJ3RER9xtqwdhxkhw/edit?usp=sharing"",""ชลบุรี!M277"")"),0)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IFERROR(__xludf.DUMMYFUNCTION("IMPORTRANGE(""https://docs.google.com/spreadsheets/d/1SX6NBoVAgQJ6U1MVXOaj8PK2l7WJ3RER9xtqwdhxkhw/edit?usp=sharing"",""ชลบุรี!L278"")"),460140)</f>
        <v>460140</v>
      </c>
      <c r="M383" s="165"/>
      <c r="N383" s="165">
        <f ca="1">IFERROR(__xludf.DUMMYFUNCTION("IMPORTRANGE(""https://docs.google.com/spreadsheets/d/1SX6NBoVAgQJ6U1MVXOaj8PK2l7WJ3RER9xtqwdhxkhw/edit?usp=sharing"",""ชลบุรี!M278"")"),55203)</f>
        <v>55203</v>
      </c>
      <c r="O383" s="165">
        <f t="shared" ca="1" si="109"/>
        <v>11.99700091276568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IFERROR(__xludf.DUMMYFUNCTION("IMPORTRANGE(""https://docs.google.com/spreadsheets/d/1SX6NBoVAgQJ6U1MVXOaj8PK2l7WJ3RER9xtqwdhxkhw/edit?usp=sharing"",""ชลบุรี!L279"")"),0)</f>
        <v>0</v>
      </c>
      <c r="M384" s="169"/>
      <c r="N384" s="169">
        <f ca="1">IFERROR(__xludf.DUMMYFUNCTION("IMPORTRANGE(""https://docs.google.com/spreadsheets/d/1SX6NBoVAgQJ6U1MVXOaj8PK2l7WJ3RER9xtqwdhxkhw/edit?usp=sharing"",""ชลบุรี!M279"")"),0)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IFERROR(__xludf.DUMMYFUNCTION("IMPORTRANGE(""https://docs.google.com/spreadsheets/d/1SX6NBoVAgQJ6U1MVXOaj8PK2l7WJ3RER9xtqwdhxkhw/edit?usp=sharing"",""ชลบุรี!L280"")"),460140)</f>
        <v>460140</v>
      </c>
      <c r="M385" s="169"/>
      <c r="N385" s="168">
        <f ca="1">IFERROR(__xludf.DUMMYFUNCTION("IMPORTRANGE(""https://docs.google.com/spreadsheets/d/1SX6NBoVAgQJ6U1MVXOaj8PK2l7WJ3RER9xtqwdhxkhw/edit?usp=sharing"",""ชลบุรี!M280"")"),55203)</f>
        <v>55203</v>
      </c>
      <c r="O385" s="169">
        <f t="shared" ca="1" si="109"/>
        <v>11.99700091276568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IFERROR(__xludf.DUMMYFUNCTION("IMPORTRANGE(""https://docs.google.com/spreadsheets/d/1SX6NBoVAgQJ6U1MVXOaj8PK2l7WJ3RER9xtqwdhxkhw/edit?usp=sharing"",""ชลบุรี!M281"")"),37720)</f>
        <v>37720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IFERROR(__xludf.DUMMYFUNCTION("IMPORTRANGE(""https://docs.google.com/spreadsheets/d/1SX6NBoVAgQJ6U1MVXOaj8PK2l7WJ3RER9xtqwdhxkhw/edit?usp=sharing"",""ชลบุรี!M282"")"),0)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IFERROR(__xludf.DUMMYFUNCTION("IMPORTRANGE(""https://docs.google.com/spreadsheets/d/1SX6NBoVAgQJ6U1MVXOaj8PK2l7WJ3RER9xtqwdhxkhw/edit?usp=sharing"",""ชลบุรี!M283"")"),0)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IFERROR(__xludf.DUMMYFUNCTION("IMPORTRANGE(""https://docs.google.com/spreadsheets/d/1SX6NBoVAgQJ6U1MVXOaj8PK2l7WJ3RER9xtqwdhxkhw/edit?usp=sharing"",""ชลบุรี!M284"")"),17483)</f>
        <v>17483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IFERROR(__xludf.DUMMYFUNCTION("IMPORTRANGE(""https://docs.google.com/spreadsheets/d/1SX6NBoVAgQJ6U1MVXOaj8PK2l7WJ3RER9xtqwdhxkhw/edit?usp=sharing"",""ชลบุรี!J286"")"),0)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IFERROR(__xludf.DUMMYFUNCTION("IMPORTRANGE(""https://docs.google.com/spreadsheets/d/1SX6NBoVAgQJ6U1MVXOaj8PK2l7WJ3RER9xtqwdhxkhw/edit?usp=sharing"",""ชลบุรี!J287"")"),1)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IFERROR(__xludf.DUMMYFUNCTION("IMPORTRANGE(""https://docs.google.com/spreadsheets/d/1SX6NBoVAgQJ6U1MVXOaj8PK2l7WJ3RER9xtqwdhxkhw/edit?usp=sharing"",""ชลบุรี!J288"")"),1)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IFERROR(__xludf.DUMMYFUNCTION("IMPORTRANGE(""https://docs.google.com/spreadsheets/d/1SX6NBoVAgQJ6U1MVXOaj8PK2l7WJ3RER9xtqwdhxkhw/edit?usp=sharing"",""ชลบุรี!J289"")"),1)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IFERROR(__xludf.DUMMYFUNCTION("IMPORTRANGE(""https://docs.google.com/spreadsheets/d/1SX6NBoVAgQJ6U1MVXOaj8PK2l7WJ3RER9xtqwdhxkhw/edit?usp=sharing"",""ชลบุรี!I291"")"),50)</f>
        <v>50</v>
      </c>
      <c r="J396" s="198">
        <f ca="1">IFERROR(__xludf.DUMMYFUNCTION("IMPORTRANGE(""https://docs.google.com/spreadsheets/d/1SX6NBoVAgQJ6U1MVXOaj8PK2l7WJ3RER9xtqwdhxkhw/edit?usp=sharing"",""ชลบุรี!J291"")"),50)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IFERROR(__xludf.DUMMYFUNCTION("IMPORTRANGE(""https://docs.google.com/spreadsheets/d/1SX6NBoVAgQJ6U1MVXOaj8PK2l7WJ3RER9xtqwdhxkhw/edit?usp=sharing"",""ชลบุรี!I292"")"),500)</f>
        <v>500</v>
      </c>
      <c r="J397" s="198">
        <f ca="1">IFERROR(__xludf.DUMMYFUNCTION("IMPORTRANGE(""https://docs.google.com/spreadsheets/d/1SX6NBoVAgQJ6U1MVXOaj8PK2l7WJ3RER9xtqwdhxkhw/edit?usp=sharing"",""ชลบุรี!J292"")"),0)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IFERROR(__xludf.DUMMYFUNCTION("IMPORTRANGE(""https://docs.google.com/spreadsheets/d/1SX6NBoVAgQJ6U1MVXOaj8PK2l7WJ3RER9xtqwdhxkhw/edit?usp=sharing"",""ชลบุรี!I293"")"),50)</f>
        <v>50</v>
      </c>
      <c r="J398" s="198">
        <f ca="1">IFERROR(__xludf.DUMMYFUNCTION("IMPORTRANGE(""https://docs.google.com/spreadsheets/d/1SX6NBoVAgQJ6U1MVXOaj8PK2l7WJ3RER9xtqwdhxkhw/edit?usp=sharing"",""ชลบุรี!J293"")"),0)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IFERROR(__xludf.DUMMYFUNCTION("IMPORTRANGE(""https://docs.google.com/spreadsheets/d/1SX6NBoVAgQJ6U1MVXOaj8PK2l7WJ3RER9xtqwdhxkhw/edit?usp=sharing"",""ชลบุรี!J294"")"),0)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IFERROR(__xludf.DUMMYFUNCTION("IMPORTRANGE(""https://docs.google.com/spreadsheets/d/1SX6NBoVAgQJ6U1MVXOaj8PK2l7WJ3RER9xtqwdhxkhw/edit?usp=sharing"",""ชลบุรี!J295"")"),0)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IFERROR(__xludf.DUMMYFUNCTION("IMPORTRANGE(""https://docs.google.com/spreadsheets/d/1SX6NBoVAgQJ6U1MVXOaj8PK2l7WJ3RER9xtqwdhxkhw/edit?usp=sharing"",""ชลบุรี!I296"")"),90)</f>
        <v>90</v>
      </c>
      <c r="J401" s="371">
        <f ca="1">IFERROR(__xludf.DUMMYFUNCTION("IMPORTRANGE(""https://docs.google.com/spreadsheets/d/1SX6NBoVAgQJ6U1MVXOaj8PK2l7WJ3RER9xtqwdhxkhw/edit?usp=sharing"",""ชลบุรี!J296"")"),90)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IFERROR(__xludf.DUMMYFUNCTION("IMPORTRANGE(""https://docs.google.com/spreadsheets/d/1SX6NBoVAgQJ6U1MVXOaj8PK2l7WJ3RER9xtqwdhxkhw/edit?usp=sharing"",""ชลบุรี!L296"")"),101920)</f>
        <v>101920</v>
      </c>
      <c r="M401" s="373"/>
      <c r="N401" s="373">
        <f ca="1">IFERROR(__xludf.DUMMYFUNCTION("IMPORTRANGE(""https://docs.google.com/spreadsheets/d/1SX6NBoVAgQJ6U1MVXOaj8PK2l7WJ3RER9xtqwdhxkhw/edit?usp=sharing"",""ชลบุรี!M296"")"),25509)</f>
        <v>25509</v>
      </c>
      <c r="O401" s="373">
        <f ca="1">+IF(L401&gt;0,N401*100/L401,0)</f>
        <v>25.028453689167975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IFERROR(__xludf.DUMMYFUNCTION("IMPORTRANGE(""https://docs.google.com/spreadsheets/d/1SX6NBoVAgQJ6U1MVXOaj8PK2l7WJ3RER9xtqwdhxkhw/edit?usp=sharing"",""ชลบุรี!I297"")"),30)</f>
        <v>30</v>
      </c>
      <c r="J402" s="371">
        <f ca="1">IFERROR(__xludf.DUMMYFUNCTION("IMPORTRANGE(""https://docs.google.com/spreadsheets/d/1SX6NBoVAgQJ6U1MVXOaj8PK2l7WJ3RER9xtqwdhxkhw/edit?usp=sharing"",""ชลบุรี!J297"")"),30)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IFERROR(__xludf.DUMMYFUNCTION("IMPORTRANGE(""https://docs.google.com/spreadsheets/d/1SX6NBoVAgQJ6U1MVXOaj8PK2l7WJ3RER9xtqwdhxkhw/edit?usp=sharing"",""ชลบุรี!L298"")"),0)</f>
        <v>0</v>
      </c>
      <c r="M403" s="164"/>
      <c r="N403" s="169">
        <f ca="1">IFERROR(__xludf.DUMMYFUNCTION("IMPORTRANGE(""https://docs.google.com/spreadsheets/d/1SX6NBoVAgQJ6U1MVXOaj8PK2l7WJ3RER9xtqwdhxkhw/edit?usp=sharing"",""ชลบุรี!M298"")"),0)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IFERROR(__xludf.DUMMYFUNCTION("IMPORTRANGE(""https://docs.google.com/spreadsheets/d/1SX6NBoVAgQJ6U1MVXOaj8PK2l7WJ3RER9xtqwdhxkhw/edit?usp=sharing"",""ชลบุรี!L299"")"),101920)</f>
        <v>101920</v>
      </c>
      <c r="M404" s="165"/>
      <c r="N404" s="169">
        <f ca="1">IFERROR(__xludf.DUMMYFUNCTION("IMPORTRANGE(""https://docs.google.com/spreadsheets/d/1SX6NBoVAgQJ6U1MVXOaj8PK2l7WJ3RER9xtqwdhxkhw/edit?usp=sharing"",""ชลบุรี!M299"")"),25509)</f>
        <v>25509</v>
      </c>
      <c r="O404" s="169">
        <f t="shared" ca="1" si="112"/>
        <v>25.028453689167975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IFERROR(__xludf.DUMMYFUNCTION("IMPORTRANGE(""https://docs.google.com/spreadsheets/d/1SX6NBoVAgQJ6U1MVXOaj8PK2l7WJ3RER9xtqwdhxkhw/edit?usp=sharing"",""ชลบุรี!L300"")"),0)</f>
        <v>0</v>
      </c>
      <c r="M405" s="169"/>
      <c r="N405" s="169">
        <f ca="1">IFERROR(__xludf.DUMMYFUNCTION("IMPORTRANGE(""https://docs.google.com/spreadsheets/d/1SX6NBoVAgQJ6U1MVXOaj8PK2l7WJ3RER9xtqwdhxkhw/edit?usp=sharing"",""ชลบุรี!M300"")"),0)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IFERROR(__xludf.DUMMYFUNCTION("IMPORTRANGE(""https://docs.google.com/spreadsheets/d/1SX6NBoVAgQJ6U1MVXOaj8PK2l7WJ3RER9xtqwdhxkhw/edit?usp=sharing"",""ชลบุรี!L301"")"),101920)</f>
        <v>101920</v>
      </c>
      <c r="M406" s="169"/>
      <c r="N406" s="169">
        <f ca="1">IFERROR(__xludf.DUMMYFUNCTION("IMPORTRANGE(""https://docs.google.com/spreadsheets/d/1SX6NBoVAgQJ6U1MVXOaj8PK2l7WJ3RER9xtqwdhxkhw/edit?usp=sharing"",""ชลบุรี!M301"")"),25509)</f>
        <v>25509</v>
      </c>
      <c r="O406" s="169">
        <f t="shared" ca="1" si="112"/>
        <v>25.028453689167975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IFERROR(__xludf.DUMMYFUNCTION("IMPORTRANGE(""https://docs.google.com/spreadsheets/d/1SX6NBoVAgQJ6U1MVXOaj8PK2l7WJ3RER9xtqwdhxkhw/edit?usp=sharing"",""ชลบุรี!M302"")"),19529)</f>
        <v>19529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IFERROR(__xludf.DUMMYFUNCTION("IMPORTRANGE(""https://docs.google.com/spreadsheets/d/1SX6NBoVAgQJ6U1MVXOaj8PK2l7WJ3RER9xtqwdhxkhw/edit?usp=sharing"",""ชลบุรี!M303"")"),0)</f>
        <v>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IFERROR(__xludf.DUMMYFUNCTION("IMPORTRANGE(""https://docs.google.com/spreadsheets/d/1SX6NBoVAgQJ6U1MVXOaj8PK2l7WJ3RER9xtqwdhxkhw/edit?usp=sharing"",""ชลบุรี!M304"")"),0)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IFERROR(__xludf.DUMMYFUNCTION("IMPORTRANGE(""https://docs.google.com/spreadsheets/d/1SX6NBoVAgQJ6U1MVXOaj8PK2l7WJ3RER9xtqwdhxkhw/edit?usp=sharing"",""ชลบุรี!M305"")"),5980)</f>
        <v>5980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IFERROR(__xludf.DUMMYFUNCTION("IMPORTRANGE(""https://docs.google.com/spreadsheets/d/1SX6NBoVAgQJ6U1MVXOaj8PK2l7WJ3RER9xtqwdhxkhw/edit?usp=sharing"",""ชลบุรี!J307"")"),0)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IFERROR(__xludf.DUMMYFUNCTION("IMPORTRANGE(""https://docs.google.com/spreadsheets/d/1SX6NBoVAgQJ6U1MVXOaj8PK2l7WJ3RER9xtqwdhxkhw/edit?usp=sharing"",""ชลบุรี!J308"")"),1)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IFERROR(__xludf.DUMMYFUNCTION("IMPORTRANGE(""https://docs.google.com/spreadsheets/d/1SX6NBoVAgQJ6U1MVXOaj8PK2l7WJ3RER9xtqwdhxkhw/edit?usp=sharing"",""ชลบุรี!J309"")"),1)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IFERROR(__xludf.DUMMYFUNCTION("IMPORTRANGE(""https://docs.google.com/spreadsheets/d/1SX6NBoVAgQJ6U1MVXOaj8PK2l7WJ3RER9xtqwdhxkhw/edit?usp=sharing"",""ชลบุรี!J310"")"),1)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IFERROR(__xludf.DUMMYFUNCTION("IMPORTRANGE(""https://docs.google.com/spreadsheets/d/1SX6NBoVAgQJ6U1MVXOaj8PK2l7WJ3RER9xtqwdhxkhw/edit?usp=sharing"",""ชลบุรี!I311"")"),30)</f>
        <v>30</v>
      </c>
      <c r="J416" s="201">
        <f ca="1">IFERROR(__xludf.DUMMYFUNCTION("IMPORTRANGE(""https://docs.google.com/spreadsheets/d/1SX6NBoVAgQJ6U1MVXOaj8PK2l7WJ3RER9xtqwdhxkhw/edit?usp=sharing"",""ชลบุรี!J311"")"),30)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IFERROR(__xludf.DUMMYFUNCTION("IMPORTRANGE(""https://docs.google.com/spreadsheets/d/1SX6NBoVAgQJ6U1MVXOaj8PK2l7WJ3RER9xtqwdhxkhw/edit?usp=sharing"",""ชลบุรี!I312"")"),0)</f>
        <v>0</v>
      </c>
      <c r="J417" s="392">
        <f ca="1">IFERROR(__xludf.DUMMYFUNCTION("IMPORTRANGE(""https://docs.google.com/spreadsheets/d/1SX6NBoVAgQJ6U1MVXOaj8PK2l7WJ3RER9xtqwdhxkhw/edit?usp=sharing"",""ชลบุรี!J312"")"),0)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IFERROR(__xludf.DUMMYFUNCTION("IMPORTRANGE(""https://docs.google.com/spreadsheets/d/1SX6NBoVAgQJ6U1MVXOaj8PK2l7WJ3RER9xtqwdhxkhw/edit?usp=sharing"",""ชลบุรี!I313"")"),0)</f>
        <v>0</v>
      </c>
      <c r="J418" s="393">
        <f ca="1">IFERROR(__xludf.DUMMYFUNCTION("IMPORTRANGE(""https://docs.google.com/spreadsheets/d/1SX6NBoVAgQJ6U1MVXOaj8PK2l7WJ3RER9xtqwdhxkhw/edit?usp=sharing"",""ชลบุรี!J313"")"),0)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IFERROR(__xludf.DUMMYFUNCTION("IMPORTRANGE(""https://docs.google.com/spreadsheets/d/1SX6NBoVAgQJ6U1MVXOaj8PK2l7WJ3RER9xtqwdhxkhw/edit?usp=sharing"",""ชลบุรี!I314"")"),0)</f>
        <v>0</v>
      </c>
      <c r="J419" s="394">
        <f ca="1">IFERROR(__xludf.DUMMYFUNCTION("IMPORTRANGE(""https://docs.google.com/spreadsheets/d/1SX6NBoVAgQJ6U1MVXOaj8PK2l7WJ3RER9xtqwdhxkhw/edit?usp=sharing"",""ชลบุรี!J314"")"),0)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IFERROR(__xludf.DUMMYFUNCTION("IMPORTRANGE(""https://docs.google.com/spreadsheets/d/1SX6NBoVAgQJ6U1MVXOaj8PK2l7WJ3RER9xtqwdhxkhw/edit?usp=sharing"",""ชลบุรี!I315"")"),0)</f>
        <v>0</v>
      </c>
      <c r="J420" s="394">
        <f ca="1">IFERROR(__xludf.DUMMYFUNCTION("IMPORTRANGE(""https://docs.google.com/spreadsheets/d/1SX6NBoVAgQJ6U1MVXOaj8PK2l7WJ3RER9xtqwdhxkhw/edit?usp=sharing"",""ชลบุรี!J315"")"),0)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IFERROR(__xludf.DUMMYFUNCTION("IMPORTRANGE(""https://docs.google.com/spreadsheets/d/1SX6NBoVAgQJ6U1MVXOaj8PK2l7WJ3RER9xtqwdhxkhw/edit?usp=sharing"",""ชลบุรี!I316"")"),20)</f>
        <v>20</v>
      </c>
      <c r="J421" s="392">
        <f ca="1">IFERROR(__xludf.DUMMYFUNCTION("IMPORTRANGE(""https://docs.google.com/spreadsheets/d/1SX6NBoVAgQJ6U1MVXOaj8PK2l7WJ3RER9xtqwdhxkhw/edit?usp=sharing"",""ชลบุรี!J316"")"),20)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IFERROR(__xludf.DUMMYFUNCTION("IMPORTRANGE(""https://docs.google.com/spreadsheets/d/1SX6NBoVAgQJ6U1MVXOaj8PK2l7WJ3RER9xtqwdhxkhw/edit?usp=sharing"",""ชลบุรี!I317"")"),60)</f>
        <v>60</v>
      </c>
      <c r="J422" s="393">
        <f ca="1">IFERROR(__xludf.DUMMYFUNCTION("IMPORTRANGE(""https://docs.google.com/spreadsheets/d/1SX6NBoVAgQJ6U1MVXOaj8PK2l7WJ3RER9xtqwdhxkhw/edit?usp=sharing"",""ชลบุรี!J317"")"),60)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IFERROR(__xludf.DUMMYFUNCTION("IMPORTRANGE(""https://docs.google.com/spreadsheets/d/1SX6NBoVAgQJ6U1MVXOaj8PK2l7WJ3RER9xtqwdhxkhw/edit?usp=sharing"",""ชลบุรี!I318"")"),20)</f>
        <v>20</v>
      </c>
      <c r="J423" s="394">
        <f ca="1">IFERROR(__xludf.DUMMYFUNCTION("IMPORTRANGE(""https://docs.google.com/spreadsheets/d/1SX6NBoVAgQJ6U1MVXOaj8PK2l7WJ3RER9xtqwdhxkhw/edit?usp=sharing"",""ชลบุรี!J318"")"),20)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IFERROR(__xludf.DUMMYFUNCTION("IMPORTRANGE(""https://docs.google.com/spreadsheets/d/1SX6NBoVAgQJ6U1MVXOaj8PK2l7WJ3RER9xtqwdhxkhw/edit?usp=sharing"",""ชลบุรี!I319"")"),20)</f>
        <v>20</v>
      </c>
      <c r="J424" s="394">
        <f ca="1">IFERROR(__xludf.DUMMYFUNCTION("IMPORTRANGE(""https://docs.google.com/spreadsheets/d/1SX6NBoVAgQJ6U1MVXOaj8PK2l7WJ3RER9xtqwdhxkhw/edit?usp=sharing"",""ชลบุรี!J319"")"),20)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IFERROR(__xludf.DUMMYFUNCTION("IMPORTRANGE(""https://docs.google.com/spreadsheets/d/1SX6NBoVAgQJ6U1MVXOaj8PK2l7WJ3RER9xtqwdhxkhw/edit?usp=sharing"",""ชลบุรี!I320"")"),20)</f>
        <v>20</v>
      </c>
      <c r="J425" s="394">
        <f ca="1">IFERROR(__xludf.DUMMYFUNCTION("IMPORTRANGE(""https://docs.google.com/spreadsheets/d/1SX6NBoVAgQJ6U1MVXOaj8PK2l7WJ3RER9xtqwdhxkhw/edit?usp=sharing"",""ชลบุรี!J320"")"),20)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IFERROR(__xludf.DUMMYFUNCTION("IMPORTRANGE(""https://docs.google.com/spreadsheets/d/1SX6NBoVAgQJ6U1MVXOaj8PK2l7WJ3RER9xtqwdhxkhw/edit?usp=sharing"",""ชลบุรี!I321"")"),10)</f>
        <v>10</v>
      </c>
      <c r="J426" s="392">
        <f ca="1">IFERROR(__xludf.DUMMYFUNCTION("IMPORTRANGE(""https://docs.google.com/spreadsheets/d/1SX6NBoVAgQJ6U1MVXOaj8PK2l7WJ3RER9xtqwdhxkhw/edit?usp=sharing"",""ชลบุรี!J321"")"),10)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IFERROR(__xludf.DUMMYFUNCTION("IMPORTRANGE(""https://docs.google.com/spreadsheets/d/1SX6NBoVAgQJ6U1MVXOaj8PK2l7WJ3RER9xtqwdhxkhw/edit?usp=sharing"",""ชลบุรี!I322"")"),30)</f>
        <v>30</v>
      </c>
      <c r="J427" s="393">
        <f ca="1">IFERROR(__xludf.DUMMYFUNCTION("IMPORTRANGE(""https://docs.google.com/spreadsheets/d/1SX6NBoVAgQJ6U1MVXOaj8PK2l7WJ3RER9xtqwdhxkhw/edit?usp=sharing"",""ชลบุรี!J322"")"),30)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IFERROR(__xludf.DUMMYFUNCTION("IMPORTRANGE(""https://docs.google.com/spreadsheets/d/1SX6NBoVAgQJ6U1MVXOaj8PK2l7WJ3RER9xtqwdhxkhw/edit?usp=sharing"",""ชลบุรี!I323"")"),10)</f>
        <v>10</v>
      </c>
      <c r="J428" s="394">
        <f ca="1">IFERROR(__xludf.DUMMYFUNCTION("IMPORTRANGE(""https://docs.google.com/spreadsheets/d/1SX6NBoVAgQJ6U1MVXOaj8PK2l7WJ3RER9xtqwdhxkhw/edit?usp=sharing"",""ชลบุรี!J323"")"),10)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IFERROR(__xludf.DUMMYFUNCTION("IMPORTRANGE(""https://docs.google.com/spreadsheets/d/1SX6NBoVAgQJ6U1MVXOaj8PK2l7WJ3RER9xtqwdhxkhw/edit?usp=sharing"",""ชลบุรี!I324"")"),10)</f>
        <v>10</v>
      </c>
      <c r="J429" s="394">
        <f ca="1">IFERROR(__xludf.DUMMYFUNCTION("IMPORTRANGE(""https://docs.google.com/spreadsheets/d/1SX6NBoVAgQJ6U1MVXOaj8PK2l7WJ3RER9xtqwdhxkhw/edit?usp=sharing"",""ชลบุรี!J324"")"),10)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IFERROR(__xludf.DUMMYFUNCTION("IMPORTRANGE(""https://docs.google.com/spreadsheets/d/1SX6NBoVAgQJ6U1MVXOaj8PK2l7WJ3RER9xtqwdhxkhw/edit?usp=sharing"",""ชลบุรี!I325"")"),20)</f>
        <v>20</v>
      </c>
      <c r="J430" s="392">
        <f ca="1">IFERROR(__xludf.DUMMYFUNCTION("IMPORTRANGE(""https://docs.google.com/spreadsheets/d/1SX6NBoVAgQJ6U1MVXOaj8PK2l7WJ3RER9xtqwdhxkhw/edit?usp=sharing"",""ชลบุรี!J325"")"),0)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IFERROR(__xludf.DUMMYFUNCTION("IMPORTRANGE(""https://docs.google.com/spreadsheets/d/1SX6NBoVAgQJ6U1MVXOaj8PK2l7WJ3RER9xtqwdhxkhw/edit?usp=sharing"",""ชลบุรี!I326"")"),0)</f>
        <v>0</v>
      </c>
      <c r="J431" s="394">
        <f ca="1">IFERROR(__xludf.DUMMYFUNCTION("IMPORTRANGE(""https://docs.google.com/spreadsheets/d/1SX6NBoVAgQJ6U1MVXOaj8PK2l7WJ3RER9xtqwdhxkhw/edit?usp=sharing"",""ชลบุรี!J326"")"),0)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IFERROR(__xludf.DUMMYFUNCTION("IMPORTRANGE(""https://docs.google.com/spreadsheets/d/1SX6NBoVAgQJ6U1MVXOaj8PK2l7WJ3RER9xtqwdhxkhw/edit?usp=sharing"",""ชลบุรี!I327"")"),20)</f>
        <v>20</v>
      </c>
      <c r="J432" s="394">
        <f ca="1">IFERROR(__xludf.DUMMYFUNCTION("IMPORTRANGE(""https://docs.google.com/spreadsheets/d/1SX6NBoVAgQJ6U1MVXOaj8PK2l7WJ3RER9xtqwdhxkhw/edit?usp=sharing"",""ชลบุรี!J327"")"),0)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IFERROR(__xludf.DUMMYFUNCTION("IMPORTRANGE(""https://docs.google.com/spreadsheets/d/1SX6NBoVAgQJ6U1MVXOaj8PK2l7WJ3RER9xtqwdhxkhw/edit?usp=sharing"",""ชลบุรี!J328"")"),0)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IFERROR(__xludf.DUMMYFUNCTION("IMPORTRANGE(""https://docs.google.com/spreadsheets/d/1SX6NBoVAgQJ6U1MVXOaj8PK2l7WJ3RER9xtqwdhxkhw/edit?usp=sharing"",""ชลบุรี!J329"")"),0)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IFERROR(__xludf.DUMMYFUNCTION("IMPORTRANGE(""https://docs.google.com/spreadsheets/d/1SX6NBoVAgQJ6U1MVXOaj8PK2l7WJ3RER9xtqwdhxkhw/edit?usp=sharing"",""ชลบุรี!I330"")"),15)</f>
        <v>15</v>
      </c>
      <c r="J435" s="410">
        <f ca="1">IFERROR(__xludf.DUMMYFUNCTION("IMPORTRANGE(""https://docs.google.com/spreadsheets/d/1SX6NBoVAgQJ6U1MVXOaj8PK2l7WJ3RER9xtqwdhxkhw/edit?usp=sharing"",""ชลบุรี!J330"")"),15)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IFERROR(__xludf.DUMMYFUNCTION("IMPORTRANGE(""https://docs.google.com/spreadsheets/d/1SX6NBoVAgQJ6U1MVXOaj8PK2l7WJ3RER9xtqwdhxkhw/edit?usp=sharing"",""ชลบุรี!L330"")"),88000)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IFERROR(__xludf.DUMMYFUNCTION("IMPORTRANGE(""https://docs.google.com/spreadsheets/d/1SX6NBoVAgQJ6U1MVXOaj8PK2l7WJ3RER9xtqwdhxkhw/edit?usp=sharing"",""ชลบุรี!M330"")"),72506.89)</f>
        <v>72506.89</v>
      </c>
      <c r="O435" s="412">
        <f t="shared" ref="O435:O439" ca="1" si="114">+IF(L435&gt;0,N435*100/L435,0)</f>
        <v>82.394193181818181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IFERROR(__xludf.DUMMYFUNCTION("IMPORTRANGE(""https://docs.google.com/spreadsheets/d/1SX6NBoVAgQJ6U1MVXOaj8PK2l7WJ3RER9xtqwdhxkhw/edit?usp=sharing"",""ชลบุรี!L331"")"),0)</f>
        <v>0</v>
      </c>
      <c r="M436" s="164"/>
      <c r="N436" s="169">
        <f ca="1">IFERROR(__xludf.DUMMYFUNCTION("IMPORTRANGE(""https://docs.google.com/spreadsheets/d/1SX6NBoVAgQJ6U1MVXOaj8PK2l7WJ3RER9xtqwdhxkhw/edit?usp=sharing"",""ชลบุรี!M331"")"),0)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IFERROR(__xludf.DUMMYFUNCTION("IMPORTRANGE(""https://docs.google.com/spreadsheets/d/1SX6NBoVAgQJ6U1MVXOaj8PK2l7WJ3RER9xtqwdhxkhw/edit?usp=sharing"",""ชลบุรี!L332"")"),88000)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IFERROR(__xludf.DUMMYFUNCTION("IMPORTRANGE(""https://docs.google.com/spreadsheets/d/1SX6NBoVAgQJ6U1MVXOaj8PK2l7WJ3RER9xtqwdhxkhw/edit?usp=sharing"",""ชลบุรี!M332"")"),72506.89)</f>
        <v>72506.89</v>
      </c>
      <c r="O437" s="169">
        <f t="shared" ca="1" si="114"/>
        <v>82.394193181818181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IFERROR(__xludf.DUMMYFUNCTION("IMPORTRANGE(""https://docs.google.com/spreadsheets/d/1SX6NBoVAgQJ6U1MVXOaj8PK2l7WJ3RER9xtqwdhxkhw/edit?usp=sharing"",""ชลบุรี!L333"")"),0)</f>
        <v>0</v>
      </c>
      <c r="M438" s="169"/>
      <c r="N438" s="169">
        <f ca="1">IFERROR(__xludf.DUMMYFUNCTION("IMPORTRANGE(""https://docs.google.com/spreadsheets/d/1SX6NBoVAgQJ6U1MVXOaj8PK2l7WJ3RER9xtqwdhxkhw/edit?usp=sharing"",""ชลบุรี!M333"")"),0)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IFERROR(__xludf.DUMMYFUNCTION("IMPORTRANGE(""https://docs.google.com/spreadsheets/d/1SX6NBoVAgQJ6U1MVXOaj8PK2l7WJ3RER9xtqwdhxkhw/edit?usp=sharing"",""ชลบุรี!L334"")"),88000)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IFERROR(__xludf.DUMMYFUNCTION("IMPORTRANGE(""https://docs.google.com/spreadsheets/d/1SX6NBoVAgQJ6U1MVXOaj8PK2l7WJ3RER9xtqwdhxkhw/edit?usp=sharing"",""ชลบุรี!M334"")"),72506.89)</f>
        <v>72506.89</v>
      </c>
      <c r="O439" s="169">
        <f t="shared" ca="1" si="114"/>
        <v>82.394193181818181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IFERROR(__xludf.DUMMYFUNCTION("IMPORTRANGE(""https://docs.google.com/spreadsheets/d/1SX6NBoVAgQJ6U1MVXOaj8PK2l7WJ3RER9xtqwdhxkhw/edit?usp=sharing"",""ชลบุรี!M335"")"),64599)</f>
        <v>64599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IFERROR(__xludf.DUMMYFUNCTION("IMPORTRANGE(""https://docs.google.com/spreadsheets/d/1SX6NBoVAgQJ6U1MVXOaj8PK2l7WJ3RER9xtqwdhxkhw/edit?usp=sharing"",""ชลบุรี!M336"")"),0)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IFERROR(__xludf.DUMMYFUNCTION("IMPORTRANGE(""https://docs.google.com/spreadsheets/d/1SX6NBoVAgQJ6U1MVXOaj8PK2l7WJ3RER9xtqwdhxkhw/edit?usp=sharing"",""ชลบุรี!M337"")"),0)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IFERROR(__xludf.DUMMYFUNCTION("IMPORTRANGE(""https://docs.google.com/spreadsheets/d/1SX6NBoVAgQJ6U1MVXOaj8PK2l7WJ3RER9xtqwdhxkhw/edit?usp=sharing"",""ชลบุรี!M338"")"),7907.89)</f>
        <v>7907.89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IFERROR(__xludf.DUMMYFUNCTION("IMPORTRANGE(""https://docs.google.com/spreadsheets/d/1SX6NBoVAgQJ6U1MVXOaj8PK2l7WJ3RER9xtqwdhxkhw/edit?usp=sharing"",""ชลบุรี!J340"")"),0)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IFERROR(__xludf.DUMMYFUNCTION("IMPORTRANGE(""https://docs.google.com/spreadsheets/d/1SX6NBoVAgQJ6U1MVXOaj8PK2l7WJ3RER9xtqwdhxkhw/edit?usp=sharing"",""ชลบุรี!J341"")"),1)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IFERROR(__xludf.DUMMYFUNCTION("IMPORTRANGE(""https://docs.google.com/spreadsheets/d/1SX6NBoVAgQJ6U1MVXOaj8PK2l7WJ3RER9xtqwdhxkhw/edit?usp=sharing"",""ชลบุรี!J342"")"),1)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IFERROR(__xludf.DUMMYFUNCTION("IMPORTRANGE(""https://docs.google.com/spreadsheets/d/1SX6NBoVAgQJ6U1MVXOaj8PK2l7WJ3RER9xtqwdhxkhw/edit?usp=sharing"",""ชลบุรี!J343"")"),1)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IFERROR(__xludf.DUMMYFUNCTION("IMPORTRANGE(""https://docs.google.com/spreadsheets/d/1SX6NBoVAgQJ6U1MVXOaj8PK2l7WJ3RER9xtqwdhxkhw/edit?usp=sharing"",""ชลบุรี!I344"")"),15)</f>
        <v>15</v>
      </c>
      <c r="J449" s="201">
        <f ca="1">IFERROR(__xludf.DUMMYFUNCTION("IMPORTRANGE(""https://docs.google.com/spreadsheets/d/1SX6NBoVAgQJ6U1MVXOaj8PK2l7WJ3RER9xtqwdhxkhw/edit?usp=sharing"",""ชลบุรี!J344"")"),15)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IFERROR(__xludf.DUMMYFUNCTION("IMPORTRANGE(""https://docs.google.com/spreadsheets/d/1SX6NBoVAgQJ6U1MVXOaj8PK2l7WJ3RER9xtqwdhxkhw/edit?usp=sharing"",""ชลบุรี!I345"")"),15)</f>
        <v>15</v>
      </c>
      <c r="J450" s="189">
        <f ca="1">IFERROR(__xludf.DUMMYFUNCTION("IMPORTRANGE(""https://docs.google.com/spreadsheets/d/1SX6NBoVAgQJ6U1MVXOaj8PK2l7WJ3RER9xtqwdhxkhw/edit?usp=sharing"",""ชลบุรี!J345"")"),15)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IFERROR(__xludf.DUMMYFUNCTION("IMPORTRANGE(""https://docs.google.com/spreadsheets/d/1SX6NBoVAgQJ6U1MVXOaj8PK2l7WJ3RER9xtqwdhxkhw/edit?usp=sharing"",""ชลบุรี!I346"")"),0)</f>
        <v>0</v>
      </c>
      <c r="J451" s="188">
        <f ca="1">IFERROR(__xludf.DUMMYFUNCTION("IMPORTRANGE(""https://docs.google.com/spreadsheets/d/1SX6NBoVAgQJ6U1MVXOaj8PK2l7WJ3RER9xtqwdhxkhw/edit?usp=sharing"",""ชลบุรี!J346"")"),0)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IFERROR(__xludf.DUMMYFUNCTION("IMPORTRANGE(""https://docs.google.com/spreadsheets/d/1SX6NBoVAgQJ6U1MVXOaj8PK2l7WJ3RER9xtqwdhxkhw/edit?usp=sharing"",""ชลบุรี!I347"")"),0)</f>
        <v>0</v>
      </c>
      <c r="J452" s="188">
        <f ca="1">IFERROR(__xludf.DUMMYFUNCTION("IMPORTRANGE(""https://docs.google.com/spreadsheets/d/1SX6NBoVAgQJ6U1MVXOaj8PK2l7WJ3RER9xtqwdhxkhw/edit?usp=sharing"",""ชลบุรี!J347"")"),0)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IFERROR(__xludf.DUMMYFUNCTION("IMPORTRANGE(""https://docs.google.com/spreadsheets/d/1SX6NBoVAgQJ6U1MVXOaj8PK2l7WJ3RER9xtqwdhxkhw/edit?usp=sharing"",""ชลบุรี!J348"")"),0)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IFERROR(__xludf.DUMMYFUNCTION("IMPORTRANGE(""https://docs.google.com/spreadsheets/d/1SX6NBoVAgQJ6U1MVXOaj8PK2l7WJ3RER9xtqwdhxkhw/edit?usp=sharing"",""ชลบุรี!J349"")"),0)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IFERROR(__xludf.DUMMYFUNCTION("IMPORTRANGE(""https://docs.google.com/spreadsheets/d/1SX6NBoVAgQJ6U1MVXOaj8PK2l7WJ3RER9xtqwdhxkhw/edit?usp=sharing"",""ชลบุรี!I350"")"),71038)</f>
        <v>71038</v>
      </c>
      <c r="J455" s="371">
        <f ca="1">IFERROR(__xludf.DUMMYFUNCTION("IMPORTRANGE(""https://docs.google.com/spreadsheets/d/1SX6NBoVAgQJ6U1MVXOaj8PK2l7WJ3RER9xtqwdhxkhw/edit?usp=sharing"",""ชลบุรี!J350"")"),71038.445)</f>
        <v>71038.445000000007</v>
      </c>
      <c r="K455" s="372">
        <f ca="1">IF(I455&gt;0,J455*100/I455,0)</f>
        <v>100.00062642529352</v>
      </c>
      <c r="L455" s="373">
        <f ca="1">IFERROR(__xludf.DUMMYFUNCTION("IMPORTRANGE(""https://docs.google.com/spreadsheets/d/1SX6NBoVAgQJ6U1MVXOaj8PK2l7WJ3RER9xtqwdhxkhw/edit?usp=sharing"",""ชลบุรี!L350"")"),593545)</f>
        <v>593545</v>
      </c>
      <c r="M455" s="373"/>
      <c r="N455" s="373">
        <f ca="1">IFERROR(__xludf.DUMMYFUNCTION("IMPORTRANGE(""https://docs.google.com/spreadsheets/d/1SX6NBoVAgQJ6U1MVXOaj8PK2l7WJ3RER9xtqwdhxkhw/edit?usp=sharing"",""ชลบุรี!M350"")"),178076)</f>
        <v>178076</v>
      </c>
      <c r="O455" s="373">
        <f t="shared" ref="O455:O459" ca="1" si="116">+IF(L455&gt;0,N455*100/L455,0)</f>
        <v>30.00210599027875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IFERROR(__xludf.DUMMYFUNCTION("IMPORTRANGE(""https://docs.google.com/spreadsheets/d/1SX6NBoVAgQJ6U1MVXOaj8PK2l7WJ3RER9xtqwdhxkhw/edit?usp=sharing"",""ชลบุรี!L351"")"),0)</f>
        <v>0</v>
      </c>
      <c r="M456" s="164"/>
      <c r="N456" s="169">
        <f ca="1">IFERROR(__xludf.DUMMYFUNCTION("IMPORTRANGE(""https://docs.google.com/spreadsheets/d/1SX6NBoVAgQJ6U1MVXOaj8PK2l7WJ3RER9xtqwdhxkhw/edit?usp=sharing"",""ชลบุรี!M351"")"),0)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IFERROR(__xludf.DUMMYFUNCTION("IMPORTRANGE(""https://docs.google.com/spreadsheets/d/1SX6NBoVAgQJ6U1MVXOaj8PK2l7WJ3RER9xtqwdhxkhw/edit?usp=sharing"",""ชลบุรี!L352"")"),593545)</f>
        <v>593545</v>
      </c>
      <c r="M457" s="165"/>
      <c r="N457" s="169">
        <f ca="1">IFERROR(__xludf.DUMMYFUNCTION("IMPORTRANGE(""https://docs.google.com/spreadsheets/d/1SX6NBoVAgQJ6U1MVXOaj8PK2l7WJ3RER9xtqwdhxkhw/edit?usp=sharing"",""ชลบุรี!M352"")"),178076)</f>
        <v>178076</v>
      </c>
      <c r="O457" s="169">
        <f t="shared" ca="1" si="116"/>
        <v>30.00210599027875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IFERROR(__xludf.DUMMYFUNCTION("IMPORTRANGE(""https://docs.google.com/spreadsheets/d/1SX6NBoVAgQJ6U1MVXOaj8PK2l7WJ3RER9xtqwdhxkhw/edit?usp=sharing"",""ชลบุรี!L353"")"),0)</f>
        <v>0</v>
      </c>
      <c r="M458" s="169"/>
      <c r="N458" s="169">
        <f ca="1">IFERROR(__xludf.DUMMYFUNCTION("IMPORTRANGE(""https://docs.google.com/spreadsheets/d/1SX6NBoVAgQJ6U1MVXOaj8PK2l7WJ3RER9xtqwdhxkhw/edit?usp=sharing"",""ชลบุรี!M353"")"),0)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IFERROR(__xludf.DUMMYFUNCTION("IMPORTRANGE(""https://docs.google.com/spreadsheets/d/1SX6NBoVAgQJ6U1MVXOaj8PK2l7WJ3RER9xtqwdhxkhw/edit?usp=sharing"",""ชลบุรี!L354"")"),593545)</f>
        <v>593545</v>
      </c>
      <c r="M459" s="169"/>
      <c r="N459" s="169">
        <f ca="1">IFERROR(__xludf.DUMMYFUNCTION("IMPORTRANGE(""https://docs.google.com/spreadsheets/d/1SX6NBoVAgQJ6U1MVXOaj8PK2l7WJ3RER9xtqwdhxkhw/edit?usp=sharing"",""ชลบุรี!M354"")"),178076)</f>
        <v>178076</v>
      </c>
      <c r="O459" s="169">
        <f t="shared" ca="1" si="116"/>
        <v>30.00210599027875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IFERROR(__xludf.DUMMYFUNCTION("IMPORTRANGE(""https://docs.google.com/spreadsheets/d/1SX6NBoVAgQJ6U1MVXOaj8PK2l7WJ3RER9xtqwdhxkhw/edit?usp=sharing"",""ชลบุรี!M355"")"),0)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IFERROR(__xludf.DUMMYFUNCTION("IMPORTRANGE(""https://docs.google.com/spreadsheets/d/1SX6NBoVAgQJ6U1MVXOaj8PK2l7WJ3RER9xtqwdhxkhw/edit?usp=sharing"",""ชลบุรี!M356"")"),0)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IFERROR(__xludf.DUMMYFUNCTION("IMPORTRANGE(""https://docs.google.com/spreadsheets/d/1SX6NBoVAgQJ6U1MVXOaj8PK2l7WJ3RER9xtqwdhxkhw/edit?usp=sharing"",""ชลบุรี!M357"")"),61963)</f>
        <v>61963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IFERROR(__xludf.DUMMYFUNCTION("IMPORTRANGE(""https://docs.google.com/spreadsheets/d/1SX6NBoVAgQJ6U1MVXOaj8PK2l7WJ3RER9xtqwdhxkhw/edit?usp=sharing"",""ชลบุรี!M358"")"),116113)</f>
        <v>116113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IFERROR(__xludf.DUMMYFUNCTION("IMPORTRANGE(""https://docs.google.com/spreadsheets/d/1SX6NBoVAgQJ6U1MVXOaj8PK2l7WJ3RER9xtqwdhxkhw/edit?usp=sharing"",""ชลบุรี!I359"")"),71038)</f>
        <v>71038</v>
      </c>
      <c r="J464" s="268">
        <f ca="1">IFERROR(__xludf.DUMMYFUNCTION("IMPORTRANGE(""https://docs.google.com/spreadsheets/d/1SX6NBoVAgQJ6U1MVXOaj8PK2l7WJ3RER9xtqwdhxkhw/edit?usp=sharing"",""ชลบุรี!J359"")"),71038.445)</f>
        <v>71038.445000000007</v>
      </c>
      <c r="K464" s="269">
        <f t="shared" ref="K464:K515" ca="1" si="117">IF(I464&gt;0,J464*100/I464,0)</f>
        <v>100.00062642529352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IFERROR(__xludf.DUMMYFUNCTION("IMPORTRANGE(""https://docs.google.com/spreadsheets/d/1SX6NBoVAgQJ6U1MVXOaj8PK2l7WJ3RER9xtqwdhxkhw/edit?usp=sharing"",""ชลบุรี!I360"")"),71038)</f>
        <v>71038</v>
      </c>
      <c r="J465" s="420">
        <f ca="1">IFERROR(__xludf.DUMMYFUNCTION("IMPORTRANGE(""https://docs.google.com/spreadsheets/d/1SX6NBoVAgQJ6U1MVXOaj8PK2l7WJ3RER9xtqwdhxkhw/edit?usp=sharing"",""ชลบุรี!J360"")"),71037.45)</f>
        <v>71037.45</v>
      </c>
      <c r="K465" s="202">
        <f t="shared" ca="1" si="117"/>
        <v>99.999225766491179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IFERROR(__xludf.DUMMYFUNCTION("IMPORTRANGE(""https://docs.google.com/spreadsheets/d/1SX6NBoVAgQJ6U1MVXOaj8PK2l7WJ3RER9xtqwdhxkhw/edit?usp=sharing"",""ชลบุรี!I361"")"),5288)</f>
        <v>5288</v>
      </c>
      <c r="J466" s="420">
        <f ca="1">IFERROR(__xludf.DUMMYFUNCTION("IMPORTRANGE(""https://docs.google.com/spreadsheets/d/1SX6NBoVAgQJ6U1MVXOaj8PK2l7WJ3RER9xtqwdhxkhw/edit?usp=sharing"",""ชลบุรี!J361"")"),5288)</f>
        <v>5288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IFERROR(__xludf.DUMMYFUNCTION("IMPORTRANGE(""https://docs.google.com/spreadsheets/d/1SX6NBoVAgQJ6U1MVXOaj8PK2l7WJ3RER9xtqwdhxkhw/edit?usp=sharing"",""ชลบุรี!I362"")"),0)</f>
        <v>0</v>
      </c>
      <c r="J467" s="189">
        <f ca="1">IFERROR(__xludf.DUMMYFUNCTION("IMPORTRANGE(""https://docs.google.com/spreadsheets/d/1SX6NBoVAgQJ6U1MVXOaj8PK2l7WJ3RER9xtqwdhxkhw/edit?usp=sharing"",""ชลบุรี!J362"")"),62571.45)</f>
        <v>62571.45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IFERROR(__xludf.DUMMYFUNCTION("IMPORTRANGE(""https://docs.google.com/spreadsheets/d/1SX6NBoVAgQJ6U1MVXOaj8PK2l7WJ3RER9xtqwdhxkhw/edit?usp=sharing"",""ชลบุรี!I363"")"),0)</f>
        <v>0</v>
      </c>
      <c r="J468" s="189">
        <f ca="1">IFERROR(__xludf.DUMMYFUNCTION("IMPORTRANGE(""https://docs.google.com/spreadsheets/d/1SX6NBoVAgQJ6U1MVXOaj8PK2l7WJ3RER9xtqwdhxkhw/edit?usp=sharing"",""ชลบุรี!J363"")"),4769)</f>
        <v>4769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IFERROR(__xludf.DUMMYFUNCTION("IMPORTRANGE(""https://docs.google.com/spreadsheets/d/1SX6NBoVAgQJ6U1MVXOaj8PK2l7WJ3RER9xtqwdhxkhw/edit?usp=sharing"",""ชลบุรี!I364"")"),0)</f>
        <v>0</v>
      </c>
      <c r="J469" s="189">
        <f ca="1">IFERROR(__xludf.DUMMYFUNCTION("IMPORTRANGE(""https://docs.google.com/spreadsheets/d/1SX6NBoVAgQJ6U1MVXOaj8PK2l7WJ3RER9xtqwdhxkhw/edit?usp=sharing"",""ชลบุรี!J364"")"),7888)</f>
        <v>7888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IFERROR(__xludf.DUMMYFUNCTION("IMPORTRANGE(""https://docs.google.com/spreadsheets/d/1SX6NBoVAgQJ6U1MVXOaj8PK2l7WJ3RER9xtqwdhxkhw/edit?usp=sharing"",""ชลบุรี!I365"")"),0)</f>
        <v>0</v>
      </c>
      <c r="J470" s="189">
        <f ca="1">IFERROR(__xludf.DUMMYFUNCTION("IMPORTRANGE(""https://docs.google.com/spreadsheets/d/1SX6NBoVAgQJ6U1MVXOaj8PK2l7WJ3RER9xtqwdhxkhw/edit?usp=sharing"",""ชลบุรี!J365"")"),468)</f>
        <v>468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IFERROR(__xludf.DUMMYFUNCTION("IMPORTRANGE(""https://docs.google.com/spreadsheets/d/1SX6NBoVAgQJ6U1MVXOaj8PK2l7WJ3RER9xtqwdhxkhw/edit?usp=sharing"",""ชลบุรี!I366"")"),0)</f>
        <v>0</v>
      </c>
      <c r="J471" s="189">
        <f ca="1">IFERROR(__xludf.DUMMYFUNCTION("IMPORTRANGE(""https://docs.google.com/spreadsheets/d/1SX6NBoVAgQJ6U1MVXOaj8PK2l7WJ3RER9xtqwdhxkhw/edit?usp=sharing"",""ชลบุรี!J366"")"),578)</f>
        <v>578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IFERROR(__xludf.DUMMYFUNCTION("IMPORTRANGE(""https://docs.google.com/spreadsheets/d/1SX6NBoVAgQJ6U1MVXOaj8PK2l7WJ3RER9xtqwdhxkhw/edit?usp=sharing"",""ชลบุรี!I367"")"),0)</f>
        <v>0</v>
      </c>
      <c r="J472" s="189">
        <f ca="1">IFERROR(__xludf.DUMMYFUNCTION("IMPORTRANGE(""https://docs.google.com/spreadsheets/d/1SX6NBoVAgQJ6U1MVXOaj8PK2l7WJ3RER9xtqwdhxkhw/edit?usp=sharing"",""ชลบุรี!J367"")"),51)</f>
        <v>51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IFERROR(__xludf.DUMMYFUNCTION("IMPORTRANGE(""https://docs.google.com/spreadsheets/d/1SX6NBoVAgQJ6U1MVXOaj8PK2l7WJ3RER9xtqwdhxkhw/edit?usp=sharing"",""ชลบุรี!I368"")"),71038)</f>
        <v>71038</v>
      </c>
      <c r="J473" s="420">
        <f ca="1">IFERROR(__xludf.DUMMYFUNCTION("IMPORTRANGE(""https://docs.google.com/spreadsheets/d/1SX6NBoVAgQJ6U1MVXOaj8PK2l7WJ3RER9xtqwdhxkhw/edit?usp=sharing"",""ชลบุรี!J368"")"),71037.45)</f>
        <v>71037.45</v>
      </c>
      <c r="K473" s="202">
        <f t="shared" ca="1" si="117"/>
        <v>99.999225766491179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IFERROR(__xludf.DUMMYFUNCTION("IMPORTRANGE(""https://docs.google.com/spreadsheets/d/1SX6NBoVAgQJ6U1MVXOaj8PK2l7WJ3RER9xtqwdhxkhw/edit?usp=sharing"",""ชลบุรี!I369"")"),5288)</f>
        <v>5288</v>
      </c>
      <c r="J474" s="420">
        <f ca="1">IFERROR(__xludf.DUMMYFUNCTION("IMPORTRANGE(""https://docs.google.com/spreadsheets/d/1SX6NBoVAgQJ6U1MVXOaj8PK2l7WJ3RER9xtqwdhxkhw/edit?usp=sharing"",""ชลบุรี!J369"")"),5288)</f>
        <v>5288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IFERROR(__xludf.DUMMYFUNCTION("IMPORTRANGE(""https://docs.google.com/spreadsheets/d/1SX6NBoVAgQJ6U1MVXOaj8PK2l7WJ3RER9xtqwdhxkhw/edit?usp=sharing"",""ชลบุรี!I370"")"),0)</f>
        <v>0</v>
      </c>
      <c r="J475" s="189">
        <f ca="1">IFERROR(__xludf.DUMMYFUNCTION("IMPORTRANGE(""https://docs.google.com/spreadsheets/d/1SX6NBoVAgQJ6U1MVXOaj8PK2l7WJ3RER9xtqwdhxkhw/edit?usp=sharing"",""ชลบุรี!J370"")"),62571.45)</f>
        <v>62571.45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IFERROR(__xludf.DUMMYFUNCTION("IMPORTRANGE(""https://docs.google.com/spreadsheets/d/1SX6NBoVAgQJ6U1MVXOaj8PK2l7WJ3RER9xtqwdhxkhw/edit?usp=sharing"",""ชลบุรี!I371"")"),0)</f>
        <v>0</v>
      </c>
      <c r="J476" s="189">
        <f ca="1">IFERROR(__xludf.DUMMYFUNCTION("IMPORTRANGE(""https://docs.google.com/spreadsheets/d/1SX6NBoVAgQJ6U1MVXOaj8PK2l7WJ3RER9xtqwdhxkhw/edit?usp=sharing"",""ชลบุรี!J371"")"),4769)</f>
        <v>4769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IFERROR(__xludf.DUMMYFUNCTION("IMPORTRANGE(""https://docs.google.com/spreadsheets/d/1SX6NBoVAgQJ6U1MVXOaj8PK2l7WJ3RER9xtqwdhxkhw/edit?usp=sharing"",""ชลบุรี!I372"")"),0)</f>
        <v>0</v>
      </c>
      <c r="J477" s="189">
        <f ca="1">IFERROR(__xludf.DUMMYFUNCTION("IMPORTRANGE(""https://docs.google.com/spreadsheets/d/1SX6NBoVAgQJ6U1MVXOaj8PK2l7WJ3RER9xtqwdhxkhw/edit?usp=sharing"",""ชลบุรี!J372"")"),7888)</f>
        <v>7888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IFERROR(__xludf.DUMMYFUNCTION("IMPORTRANGE(""https://docs.google.com/spreadsheets/d/1SX6NBoVAgQJ6U1MVXOaj8PK2l7WJ3RER9xtqwdhxkhw/edit?usp=sharing"",""ชลบุรี!I373"")"),0)</f>
        <v>0</v>
      </c>
      <c r="J478" s="189">
        <f ca="1">IFERROR(__xludf.DUMMYFUNCTION("IMPORTRANGE(""https://docs.google.com/spreadsheets/d/1SX6NBoVAgQJ6U1MVXOaj8PK2l7WJ3RER9xtqwdhxkhw/edit?usp=sharing"",""ชลบุรี!J373"")"),468)</f>
        <v>468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IFERROR(__xludf.DUMMYFUNCTION("IMPORTRANGE(""https://docs.google.com/spreadsheets/d/1SX6NBoVAgQJ6U1MVXOaj8PK2l7WJ3RER9xtqwdhxkhw/edit?usp=sharing"",""ชลบุรี!I374"")"),0)</f>
        <v>0</v>
      </c>
      <c r="J479" s="189">
        <f ca="1">IFERROR(__xludf.DUMMYFUNCTION("IMPORTRANGE(""https://docs.google.com/spreadsheets/d/1SX6NBoVAgQJ6U1MVXOaj8PK2l7WJ3RER9xtqwdhxkhw/edit?usp=sharing"",""ชลบุรี!J374"")"),578)</f>
        <v>578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IFERROR(__xludf.DUMMYFUNCTION("IMPORTRANGE(""https://docs.google.com/spreadsheets/d/1SX6NBoVAgQJ6U1MVXOaj8PK2l7WJ3RER9xtqwdhxkhw/edit?usp=sharing"",""ชลบุรี!I375"")"),0)</f>
        <v>0</v>
      </c>
      <c r="J480" s="189">
        <f ca="1">IFERROR(__xludf.DUMMYFUNCTION("IMPORTRANGE(""https://docs.google.com/spreadsheets/d/1SX6NBoVAgQJ6U1MVXOaj8PK2l7WJ3RER9xtqwdhxkhw/edit?usp=sharing"",""ชลบุรี!J375"")"),51)</f>
        <v>51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IFERROR(__xludf.DUMMYFUNCTION("IMPORTRANGE(""https://docs.google.com/spreadsheets/d/1SX6NBoVAgQJ6U1MVXOaj8PK2l7WJ3RER9xtqwdhxkhw/edit?usp=sharing"",""ชลบุรี!I376"")"),71038)</f>
        <v>71038</v>
      </c>
      <c r="J481" s="420">
        <f ca="1">IFERROR(__xludf.DUMMYFUNCTION("IMPORTRANGE(""https://docs.google.com/spreadsheets/d/1SX6NBoVAgQJ6U1MVXOaj8PK2l7WJ3RER9xtqwdhxkhw/edit?usp=sharing"",""ชลบุรี!J376"")"),71038.445)</f>
        <v>71038.445000000007</v>
      </c>
      <c r="K481" s="202">
        <f t="shared" ca="1" si="117"/>
        <v>100.00062642529352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IFERROR(__xludf.DUMMYFUNCTION("IMPORTRANGE(""https://docs.google.com/spreadsheets/d/1SX6NBoVAgQJ6U1MVXOaj8PK2l7WJ3RER9xtqwdhxkhw/edit?usp=sharing"",""ชลบุรี!I377"")"),5288)</f>
        <v>5288</v>
      </c>
      <c r="J482" s="420">
        <f ca="1">IFERROR(__xludf.DUMMYFUNCTION("IMPORTRANGE(""https://docs.google.com/spreadsheets/d/1SX6NBoVAgQJ6U1MVXOaj8PK2l7WJ3RER9xtqwdhxkhw/edit?usp=sharing"",""ชลบุรี!J377"")"),5288)</f>
        <v>5288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IFERROR(__xludf.DUMMYFUNCTION("IMPORTRANGE(""https://docs.google.com/spreadsheets/d/1SX6NBoVAgQJ6U1MVXOaj8PK2l7WJ3RER9xtqwdhxkhw/edit?usp=sharing"",""ชลบุรี!I378"")"),0)</f>
        <v>0</v>
      </c>
      <c r="J483" s="189">
        <f ca="1">IFERROR(__xludf.DUMMYFUNCTION("IMPORTRANGE(""https://docs.google.com/spreadsheets/d/1SX6NBoVAgQJ6U1MVXOaj8PK2l7WJ3RER9xtqwdhxkhw/edit?usp=sharing"",""ชลบุรี!J378"")"),66660.445)</f>
        <v>66660.445000000007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IFERROR(__xludf.DUMMYFUNCTION("IMPORTRANGE(""https://docs.google.com/spreadsheets/d/1SX6NBoVAgQJ6U1MVXOaj8PK2l7WJ3RER9xtqwdhxkhw/edit?usp=sharing"",""ชลบุรี!I379"")"),0)</f>
        <v>0</v>
      </c>
      <c r="J484" s="189">
        <f ca="1">IFERROR(__xludf.DUMMYFUNCTION("IMPORTRANGE(""https://docs.google.com/spreadsheets/d/1SX6NBoVAgQJ6U1MVXOaj8PK2l7WJ3RER9xtqwdhxkhw/edit?usp=sharing"",""ชลบุรี!J379"")"),4982)</f>
        <v>4982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IFERROR(__xludf.DUMMYFUNCTION("IMPORTRANGE(""https://docs.google.com/spreadsheets/d/1SX6NBoVAgQJ6U1MVXOaj8PK2l7WJ3RER9xtqwdhxkhw/edit?usp=sharing"",""ชลบุรี!I380"")"),0)</f>
        <v>0</v>
      </c>
      <c r="J485" s="189">
        <f ca="1">IFERROR(__xludf.DUMMYFUNCTION("IMPORTRANGE(""https://docs.google.com/spreadsheets/d/1SX6NBoVAgQJ6U1MVXOaj8PK2l7WJ3RER9xtqwdhxkhw/edit?usp=sharing"",""ชลบุรี!J380"")"),3800)</f>
        <v>3800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IFERROR(__xludf.DUMMYFUNCTION("IMPORTRANGE(""https://docs.google.com/spreadsheets/d/1SX6NBoVAgQJ6U1MVXOaj8PK2l7WJ3RER9xtqwdhxkhw/edit?usp=sharing"",""ชลบุรี!I381"")"),0)</f>
        <v>0</v>
      </c>
      <c r="J486" s="189">
        <f ca="1">IFERROR(__xludf.DUMMYFUNCTION("IMPORTRANGE(""https://docs.google.com/spreadsheets/d/1SX6NBoVAgQJ6U1MVXOaj8PK2l7WJ3RER9xtqwdhxkhw/edit?usp=sharing"",""ชลบุรี!J381"")"),255)</f>
        <v>255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IFERROR(__xludf.DUMMYFUNCTION("IMPORTRANGE(""https://docs.google.com/spreadsheets/d/1SX6NBoVAgQJ6U1MVXOaj8PK2l7WJ3RER9xtqwdhxkhw/edit?usp=sharing"",""ชลบุรี!I382"")"),0)</f>
        <v>0</v>
      </c>
      <c r="J487" s="420">
        <f ca="1">IFERROR(__xludf.DUMMYFUNCTION("IMPORTRANGE(""https://docs.google.com/spreadsheets/d/1SX6NBoVAgQJ6U1MVXOaj8PK2l7WJ3RER9xtqwdhxkhw/edit?usp=sharing"",""ชลบุรี!J382"")"),578)</f>
        <v>578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IFERROR(__xludf.DUMMYFUNCTION("IMPORTRANGE(""https://docs.google.com/spreadsheets/d/1SX6NBoVAgQJ6U1MVXOaj8PK2l7WJ3RER9xtqwdhxkhw/edit?usp=sharing"",""ชลบุรี!I383"")"),0)</f>
        <v>0</v>
      </c>
      <c r="J488" s="420">
        <f ca="1">IFERROR(__xludf.DUMMYFUNCTION("IMPORTRANGE(""https://docs.google.com/spreadsheets/d/1SX6NBoVAgQJ6U1MVXOaj8PK2l7WJ3RER9xtqwdhxkhw/edit?usp=sharing"",""ชลบุรี!J383"")"),51)</f>
        <v>51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IFERROR(__xludf.DUMMYFUNCTION("IMPORTRANGE(""https://docs.google.com/spreadsheets/d/1SX6NBoVAgQJ6U1MVXOaj8PK2l7WJ3RER9xtqwdhxkhw/edit?usp=sharing"",""ชลบุรี!I384"")"),0)</f>
        <v>0</v>
      </c>
      <c r="J489" s="189">
        <f ca="1">IFERROR(__xludf.DUMMYFUNCTION("IMPORTRANGE(""https://docs.google.com/spreadsheets/d/1SX6NBoVAgQJ6U1MVXOaj8PK2l7WJ3RER9xtqwdhxkhw/edit?usp=sharing"",""ชลบุรี!J384"")"),568)</f>
        <v>568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IFERROR(__xludf.DUMMYFUNCTION("IMPORTRANGE(""https://docs.google.com/spreadsheets/d/1SX6NBoVAgQJ6U1MVXOaj8PK2l7WJ3RER9xtqwdhxkhw/edit?usp=sharing"",""ชลบุรี!I385"")"),0)</f>
        <v>0</v>
      </c>
      <c r="J490" s="189">
        <f ca="1">IFERROR(__xludf.DUMMYFUNCTION("IMPORTRANGE(""https://docs.google.com/spreadsheets/d/1SX6NBoVAgQJ6U1MVXOaj8PK2l7WJ3RER9xtqwdhxkhw/edit?usp=sharing"",""ชลบุรี!J385"")"),49)</f>
        <v>49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IFERROR(__xludf.DUMMYFUNCTION("IMPORTRANGE(""https://docs.google.com/spreadsheets/d/1SX6NBoVAgQJ6U1MVXOaj8PK2l7WJ3RER9xtqwdhxkhw/edit?usp=sharing"",""ชลบุรี!I386"")"),0)</f>
        <v>0</v>
      </c>
      <c r="J491" s="189">
        <f ca="1">IFERROR(__xludf.DUMMYFUNCTION("IMPORTRANGE(""https://docs.google.com/spreadsheets/d/1SX6NBoVAgQJ6U1MVXOaj8PK2l7WJ3RER9xtqwdhxkhw/edit?usp=sharing"",""ชลบุรี!J386"")"),10)</f>
        <v>10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IFERROR(__xludf.DUMMYFUNCTION("IMPORTRANGE(""https://docs.google.com/spreadsheets/d/1SX6NBoVAgQJ6U1MVXOaj8PK2l7WJ3RER9xtqwdhxkhw/edit?usp=sharing"",""ชลบุรี!I387"")"),0)</f>
        <v>0</v>
      </c>
      <c r="J492" s="189">
        <f ca="1">IFERROR(__xludf.DUMMYFUNCTION("IMPORTRANGE(""https://docs.google.com/spreadsheets/d/1SX6NBoVAgQJ6U1MVXOaj8PK2l7WJ3RER9xtqwdhxkhw/edit?usp=sharing"",""ชลบุรี!J387"")"),2)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IFERROR(__xludf.DUMMYFUNCTION("IMPORTRANGE(""https://docs.google.com/spreadsheets/d/1SX6NBoVAgQJ6U1MVXOaj8PK2l7WJ3RER9xtqwdhxkhw/edit?usp=sharing"",""ชลบุรี!I388"")"),0)</f>
        <v>0</v>
      </c>
      <c r="J493" s="189">
        <f ca="1">IFERROR(__xludf.DUMMYFUNCTION("IMPORTRANGE(""https://docs.google.com/spreadsheets/d/1SX6NBoVAgQJ6U1MVXOaj8PK2l7WJ3RER9xtqwdhxkhw/edit?usp=sharing"",""ชลบุรี!J388"")"),0)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IFERROR(__xludf.DUMMYFUNCTION("IMPORTRANGE(""https://docs.google.com/spreadsheets/d/1SX6NBoVAgQJ6U1MVXOaj8PK2l7WJ3RER9xtqwdhxkhw/edit?usp=sharing"",""ชลบุรี!I389"")"),0)</f>
        <v>0</v>
      </c>
      <c r="J494" s="436">
        <f ca="1">IFERROR(__xludf.DUMMYFUNCTION("IMPORTRANGE(""https://docs.google.com/spreadsheets/d/1SX6NBoVAgQJ6U1MVXOaj8PK2l7WJ3RER9xtqwdhxkhw/edit?usp=sharing"",""ชลบุรี!J389"")"),0)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IFERROR(__xludf.DUMMYFUNCTION("IMPORTRANGE(""https://docs.google.com/spreadsheets/d/1SX6NBoVAgQJ6U1MVXOaj8PK2l7WJ3RER9xtqwdhxkhw/edit?usp=sharing"",""ชลบุรี!I390"")"),0)</f>
        <v>0</v>
      </c>
      <c r="J495" s="436">
        <f ca="1">IFERROR(__xludf.DUMMYFUNCTION("IMPORTRANGE(""https://docs.google.com/spreadsheets/d/1SX6NBoVAgQJ6U1MVXOaj8PK2l7WJ3RER9xtqwdhxkhw/edit?usp=sharing"",""ชลบุรี!J390"")"),0)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IFERROR(__xludf.DUMMYFUNCTION("IMPORTRANGE(""https://docs.google.com/spreadsheets/d/1SX6NBoVAgQJ6U1MVXOaj8PK2l7WJ3RER9xtqwdhxkhw/edit?usp=sharing"",""ชลบุรี!I391"")"),0)</f>
        <v>0</v>
      </c>
      <c r="J496" s="436">
        <f ca="1">IFERROR(__xludf.DUMMYFUNCTION("IMPORTRANGE(""https://docs.google.com/spreadsheets/d/1SX6NBoVAgQJ6U1MVXOaj8PK2l7WJ3RER9xtqwdhxkhw/edit?usp=sharing"",""ชลบุรี!J391"")"),0)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IFERROR(__xludf.DUMMYFUNCTION("IMPORTRANGE(""https://docs.google.com/spreadsheets/d/1SX6NBoVAgQJ6U1MVXOaj8PK2l7WJ3RER9xtqwdhxkhw/edit?usp=sharing"",""ชลบุรี!I392"")"),1843)</f>
        <v>1843</v>
      </c>
      <c r="J497" s="443">
        <f ca="1">IFERROR(__xludf.DUMMYFUNCTION("IMPORTRANGE(""https://docs.google.com/spreadsheets/d/1SX6NBoVAgQJ6U1MVXOaj8PK2l7WJ3RER9xtqwdhxkhw/edit?usp=sharing"",""ชลบุรี!J392"")"),0)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IFERROR(__xludf.DUMMYFUNCTION("IMPORTRANGE(""https://docs.google.com/spreadsheets/d/1SX6NBoVAgQJ6U1MVXOaj8PK2l7WJ3RER9xtqwdhxkhw/edit?usp=sharing"",""ชลบุรี!I393"")"),1843)</f>
        <v>1843</v>
      </c>
      <c r="J498" s="420">
        <f ca="1">IFERROR(__xludf.DUMMYFUNCTION("IMPORTRANGE(""https://docs.google.com/spreadsheets/d/1SX6NBoVAgQJ6U1MVXOaj8PK2l7WJ3RER9xtqwdhxkhw/edit?usp=sharing"",""ชลบุรี!J393"")"),0)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IFERROR(__xludf.DUMMYFUNCTION("IMPORTRANGE(""https://docs.google.com/spreadsheets/d/1SX6NBoVAgQJ6U1MVXOaj8PK2l7WJ3RER9xtqwdhxkhw/edit?usp=sharing"",""ชลบุรี!I394"")"),118)</f>
        <v>118</v>
      </c>
      <c r="J499" s="420">
        <f ca="1">IFERROR(__xludf.DUMMYFUNCTION("IMPORTRANGE(""https://docs.google.com/spreadsheets/d/1SX6NBoVAgQJ6U1MVXOaj8PK2l7WJ3RER9xtqwdhxkhw/edit?usp=sharing"",""ชลบุรี!J394"")"),0)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IFERROR(__xludf.DUMMYFUNCTION("IMPORTRANGE(""https://docs.google.com/spreadsheets/d/1SX6NBoVAgQJ6U1MVXOaj8PK2l7WJ3RER9xtqwdhxkhw/edit?usp=sharing"",""ชลบุรี!I395"")"),0)</f>
        <v>0</v>
      </c>
      <c r="J500" s="162">
        <f ca="1">IFERROR(__xludf.DUMMYFUNCTION("IMPORTRANGE(""https://docs.google.com/spreadsheets/d/1SX6NBoVAgQJ6U1MVXOaj8PK2l7WJ3RER9xtqwdhxkhw/edit?usp=sharing"",""ชลบุรี!J395"")"),0)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IFERROR(__xludf.DUMMYFUNCTION("IMPORTRANGE(""https://docs.google.com/spreadsheets/d/1SX6NBoVAgQJ6U1MVXOaj8PK2l7WJ3RER9xtqwdhxkhw/edit?usp=sharing"",""ชลบุรี!I396"")"),0)</f>
        <v>0</v>
      </c>
      <c r="J501" s="162">
        <f ca="1">IFERROR(__xludf.DUMMYFUNCTION("IMPORTRANGE(""https://docs.google.com/spreadsheets/d/1SX6NBoVAgQJ6U1MVXOaj8PK2l7WJ3RER9xtqwdhxkhw/edit?usp=sharing"",""ชลบุรี!J396"")"),0)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IFERROR(__xludf.DUMMYFUNCTION("IMPORTRANGE(""https://docs.google.com/spreadsheets/d/1SX6NBoVAgQJ6U1MVXOaj8PK2l7WJ3RER9xtqwdhxkhw/edit?usp=sharing"",""ชลบุรี!I397"")"),0)</f>
        <v>0</v>
      </c>
      <c r="J502" s="189">
        <f ca="1">IFERROR(__xludf.DUMMYFUNCTION("IMPORTRANGE(""https://docs.google.com/spreadsheets/d/1SX6NBoVAgQJ6U1MVXOaj8PK2l7WJ3RER9xtqwdhxkhw/edit?usp=sharing"",""ชลบุรี!J397"")"),0)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IFERROR(__xludf.DUMMYFUNCTION("IMPORTRANGE(""https://docs.google.com/spreadsheets/d/1SX6NBoVAgQJ6U1MVXOaj8PK2l7WJ3RER9xtqwdhxkhw/edit?usp=sharing"",""ชลบุรี!I398"")"),0)</f>
        <v>0</v>
      </c>
      <c r="J503" s="198">
        <f ca="1">IFERROR(__xludf.DUMMYFUNCTION("IMPORTRANGE(""https://docs.google.com/spreadsheets/d/1SX6NBoVAgQJ6U1MVXOaj8PK2l7WJ3RER9xtqwdhxkhw/edit?usp=sharing"",""ชลบุรี!J398"")"),0)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IFERROR(__xludf.DUMMYFUNCTION("IMPORTRANGE(""https://docs.google.com/spreadsheets/d/1SX6NBoVAgQJ6U1MVXOaj8PK2l7WJ3RER9xtqwdhxkhw/edit?usp=sharing"",""ชลบุรี!I399"")"),0)</f>
        <v>0</v>
      </c>
      <c r="J504" s="189">
        <f ca="1">IFERROR(__xludf.DUMMYFUNCTION("IMPORTRANGE(""https://docs.google.com/spreadsheets/d/1SX6NBoVAgQJ6U1MVXOaj8PK2l7WJ3RER9xtqwdhxkhw/edit?usp=sharing"",""ชลบุรี!J399"")"),0)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IFERROR(__xludf.DUMMYFUNCTION("IMPORTRANGE(""https://docs.google.com/spreadsheets/d/1SX6NBoVAgQJ6U1MVXOaj8PK2l7WJ3RER9xtqwdhxkhw/edit?usp=sharing"",""ชลบุรี!I400"")"),0)</f>
        <v>0</v>
      </c>
      <c r="J505" s="198">
        <f ca="1">IFERROR(__xludf.DUMMYFUNCTION("IMPORTRANGE(""https://docs.google.com/spreadsheets/d/1SX6NBoVAgQJ6U1MVXOaj8PK2l7WJ3RER9xtqwdhxkhw/edit?usp=sharing"",""ชลบุรี!J400"")"),0)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IFERROR(__xludf.DUMMYFUNCTION("IMPORTRANGE(""https://docs.google.com/spreadsheets/d/1SX6NBoVAgQJ6U1MVXOaj8PK2l7WJ3RER9xtqwdhxkhw/edit?usp=sharing"",""ชลบุรี!I401"")"),0)</f>
        <v>0</v>
      </c>
      <c r="J506" s="189">
        <f ca="1">IFERROR(__xludf.DUMMYFUNCTION("IMPORTRANGE(""https://docs.google.com/spreadsheets/d/1SX6NBoVAgQJ6U1MVXOaj8PK2l7WJ3RER9xtqwdhxkhw/edit?usp=sharing"",""ชลบุรี!J401"")"),0)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IFERROR(__xludf.DUMMYFUNCTION("IMPORTRANGE(""https://docs.google.com/spreadsheets/d/1SX6NBoVAgQJ6U1MVXOaj8PK2l7WJ3RER9xtqwdhxkhw/edit?usp=sharing"",""ชลบุรี!I402"")"),0)</f>
        <v>0</v>
      </c>
      <c r="J507" s="198">
        <f ca="1">IFERROR(__xludf.DUMMYFUNCTION("IMPORTRANGE(""https://docs.google.com/spreadsheets/d/1SX6NBoVAgQJ6U1MVXOaj8PK2l7WJ3RER9xtqwdhxkhw/edit?usp=sharing"",""ชลบุรี!J402"")"),0)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IFERROR(__xludf.DUMMYFUNCTION("IMPORTRANGE(""https://docs.google.com/spreadsheets/d/1SX6NBoVAgQJ6U1MVXOaj8PK2l7WJ3RER9xtqwdhxkhw/edit?usp=sharing"",""ชลบุรี!I403"")"),0)</f>
        <v>0</v>
      </c>
      <c r="J508" s="162">
        <f ca="1">IFERROR(__xludf.DUMMYFUNCTION("IMPORTRANGE(""https://docs.google.com/spreadsheets/d/1SX6NBoVAgQJ6U1MVXOaj8PK2l7WJ3RER9xtqwdhxkhw/edit?usp=sharing"",""ชลบุรี!J403"")"),0)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IFERROR(__xludf.DUMMYFUNCTION("IMPORTRANGE(""https://docs.google.com/spreadsheets/d/1SX6NBoVAgQJ6U1MVXOaj8PK2l7WJ3RER9xtqwdhxkhw/edit?usp=sharing"",""ชลบุรี!I404"")"),0)</f>
        <v>0</v>
      </c>
      <c r="J509" s="162">
        <f ca="1">IFERROR(__xludf.DUMMYFUNCTION("IMPORTRANGE(""https://docs.google.com/spreadsheets/d/1SX6NBoVAgQJ6U1MVXOaj8PK2l7WJ3RER9xtqwdhxkhw/edit?usp=sharing"",""ชลบุรี!J404"")"),0)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IFERROR(__xludf.DUMMYFUNCTION("IMPORTRANGE(""https://docs.google.com/spreadsheets/d/1SX6NBoVAgQJ6U1MVXOaj8PK2l7WJ3RER9xtqwdhxkhw/edit?usp=sharing"",""ชลบุรี!I405"")"),0)</f>
        <v>0</v>
      </c>
      <c r="J510" s="198">
        <f ca="1">IFERROR(__xludf.DUMMYFUNCTION("IMPORTRANGE(""https://docs.google.com/spreadsheets/d/1SX6NBoVAgQJ6U1MVXOaj8PK2l7WJ3RER9xtqwdhxkhw/edit?usp=sharing"",""ชลบุรี!J405"")"),0)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IFERROR(__xludf.DUMMYFUNCTION("IMPORTRANGE(""https://docs.google.com/spreadsheets/d/1SX6NBoVAgQJ6U1MVXOaj8PK2l7WJ3RER9xtqwdhxkhw/edit?usp=sharing"",""ชลบุรี!I406"")"),0)</f>
        <v>0</v>
      </c>
      <c r="J511" s="198">
        <f ca="1">IFERROR(__xludf.DUMMYFUNCTION("IMPORTRANGE(""https://docs.google.com/spreadsheets/d/1SX6NBoVAgQJ6U1MVXOaj8PK2l7WJ3RER9xtqwdhxkhw/edit?usp=sharing"",""ชลบุรี!J406"")"),0)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IFERROR(__xludf.DUMMYFUNCTION("IMPORTRANGE(""https://docs.google.com/spreadsheets/d/1SX6NBoVAgQJ6U1MVXOaj8PK2l7WJ3RER9xtqwdhxkhw/edit?usp=sharing"",""ชลบุรี!I407"")"),0)</f>
        <v>0</v>
      </c>
      <c r="J512" s="198">
        <f ca="1">IFERROR(__xludf.DUMMYFUNCTION("IMPORTRANGE(""https://docs.google.com/spreadsheets/d/1SX6NBoVAgQJ6U1MVXOaj8PK2l7WJ3RER9xtqwdhxkhw/edit?usp=sharing"",""ชลบุรี!J407"")"),0)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IFERROR(__xludf.DUMMYFUNCTION("IMPORTRANGE(""https://docs.google.com/spreadsheets/d/1SX6NBoVAgQJ6U1MVXOaj8PK2l7WJ3RER9xtqwdhxkhw/edit?usp=sharing"",""ชลบุรี!I408"")"),0)</f>
        <v>0</v>
      </c>
      <c r="J513" s="198">
        <f ca="1">IFERROR(__xludf.DUMMYFUNCTION("IMPORTRANGE(""https://docs.google.com/spreadsheets/d/1SX6NBoVAgQJ6U1MVXOaj8PK2l7WJ3RER9xtqwdhxkhw/edit?usp=sharing"",""ชลบุรี!J408"")"),0)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IFERROR(__xludf.DUMMYFUNCTION("IMPORTRANGE(""https://docs.google.com/spreadsheets/d/1SX6NBoVAgQJ6U1MVXOaj8PK2l7WJ3RER9xtqwdhxkhw/edit?usp=sharing"",""ชลบุรี!I409"")"),0)</f>
        <v>0</v>
      </c>
      <c r="J514" s="198">
        <f ca="1">IFERROR(__xludf.DUMMYFUNCTION("IMPORTRANGE(""https://docs.google.com/spreadsheets/d/1SX6NBoVAgQJ6U1MVXOaj8PK2l7WJ3RER9xtqwdhxkhw/edit?usp=sharing"",""ชลบุรี!J409"")"),0)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IFERROR(__xludf.DUMMYFUNCTION("IMPORTRANGE(""https://docs.google.com/spreadsheets/d/1SX6NBoVAgQJ6U1MVXOaj8PK2l7WJ3RER9xtqwdhxkhw/edit?usp=sharing"",""ชลบุรี!I410"")"),0)</f>
        <v>0</v>
      </c>
      <c r="J515" s="198">
        <f ca="1">IFERROR(__xludf.DUMMYFUNCTION("IMPORTRANGE(""https://docs.google.com/spreadsheets/d/1SX6NBoVAgQJ6U1MVXOaj8PK2l7WJ3RER9xtqwdhxkhw/edit?usp=sharing"",""ชลบุรี!J410"")"),0)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IFERROR(__xludf.DUMMYFUNCTION("IMPORTRANGE(""https://docs.google.com/spreadsheets/d/1SX6NBoVAgQJ6U1MVXOaj8PK2l7WJ3RER9xtqwdhxkhw/edit?usp=sharing"",""ชลบุรี!I411"")"),0)</f>
        <v>0</v>
      </c>
      <c r="J516" s="268">
        <f ca="1">IFERROR(__xludf.DUMMYFUNCTION("IMPORTRANGE(""https://docs.google.com/spreadsheets/d/1SX6NBoVAgQJ6U1MVXOaj8PK2l7WJ3RER9xtqwdhxkhw/edit?usp=sharing"",""ชลบุรี!J411"")"),0)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IFERROR(__xludf.DUMMYFUNCTION("IMPORTRANGE(""https://docs.google.com/spreadsheets/d/1SX6NBoVAgQJ6U1MVXOaj8PK2l7WJ3RER9xtqwdhxkhw/edit?usp=sharing"",""ชลบุรี!I412"")"),0)</f>
        <v>0</v>
      </c>
      <c r="J517" s="285">
        <f ca="1">IFERROR(__xludf.DUMMYFUNCTION("IMPORTRANGE(""https://docs.google.com/spreadsheets/d/1SX6NBoVAgQJ6U1MVXOaj8PK2l7WJ3RER9xtqwdhxkhw/edit?usp=sharing"",""ชลบุรี!J412"")"),0)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IFERROR(__xludf.DUMMYFUNCTION("IMPORTRANGE(""https://docs.google.com/spreadsheets/d/1SX6NBoVAgQJ6U1MVXOaj8PK2l7WJ3RER9xtqwdhxkhw/edit?usp=sharing"",""ชลบุรี!I413"")"),0)</f>
        <v>0</v>
      </c>
      <c r="J518" s="285">
        <f ca="1">IFERROR(__xludf.DUMMYFUNCTION("IMPORTRANGE(""https://docs.google.com/spreadsheets/d/1SX6NBoVAgQJ6U1MVXOaj8PK2l7WJ3RER9xtqwdhxkhw/edit?usp=sharing"",""ชลบุรี!J413"")"),0)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IFERROR(__xludf.DUMMYFUNCTION("IMPORTRANGE(""https://docs.google.com/spreadsheets/d/1SX6NBoVAgQJ6U1MVXOaj8PK2l7WJ3RER9xtqwdhxkhw/edit?usp=sharing"",""ชลบุรี!I414"")"),0)</f>
        <v>0</v>
      </c>
      <c r="J519" s="188">
        <f ca="1">IFERROR(__xludf.DUMMYFUNCTION("IMPORTRANGE(""https://docs.google.com/spreadsheets/d/1SX6NBoVAgQJ6U1MVXOaj8PK2l7WJ3RER9xtqwdhxkhw/edit?usp=sharing"",""ชลบุรี!J414"")"),0)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IFERROR(__xludf.DUMMYFUNCTION("IMPORTRANGE(""https://docs.google.com/spreadsheets/d/1SX6NBoVAgQJ6U1MVXOaj8PK2l7WJ3RER9xtqwdhxkhw/edit?usp=sharing"",""ชลบุรี!I415"")"),0)</f>
        <v>0</v>
      </c>
      <c r="J520" s="188">
        <f ca="1">IFERROR(__xludf.DUMMYFUNCTION("IMPORTRANGE(""https://docs.google.com/spreadsheets/d/1SX6NBoVAgQJ6U1MVXOaj8PK2l7WJ3RER9xtqwdhxkhw/edit?usp=sharing"",""ชลบุรี!J415"")"),0)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IFERROR(__xludf.DUMMYFUNCTION("IMPORTRANGE(""https://docs.google.com/spreadsheets/d/1SX6NBoVAgQJ6U1MVXOaj8PK2l7WJ3RER9xtqwdhxkhw/edit?usp=sharing"",""ชลบุรี!I416"")"),0)</f>
        <v>0</v>
      </c>
      <c r="J521" s="188">
        <f ca="1">IFERROR(__xludf.DUMMYFUNCTION("IMPORTRANGE(""https://docs.google.com/spreadsheets/d/1SX6NBoVAgQJ6U1MVXOaj8PK2l7WJ3RER9xtqwdhxkhw/edit?usp=sharing"",""ชลบุรี!J416"")"),0)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IFERROR(__xludf.DUMMYFUNCTION("IMPORTRANGE(""https://docs.google.com/spreadsheets/d/1SX6NBoVAgQJ6U1MVXOaj8PK2l7WJ3RER9xtqwdhxkhw/edit?usp=sharing"",""ชลบุรี!I417"")"),0)</f>
        <v>0</v>
      </c>
      <c r="J522" s="188">
        <f ca="1">IFERROR(__xludf.DUMMYFUNCTION("IMPORTRANGE(""https://docs.google.com/spreadsheets/d/1SX6NBoVAgQJ6U1MVXOaj8PK2l7WJ3RER9xtqwdhxkhw/edit?usp=sharing"",""ชลบุรี!J417"")"),0)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IFERROR(__xludf.DUMMYFUNCTION("IMPORTRANGE(""https://docs.google.com/spreadsheets/d/1SX6NBoVAgQJ6U1MVXOaj8PK2l7WJ3RER9xtqwdhxkhw/edit?usp=sharing"",""ชลบุรี!I418"")"),0)</f>
        <v>0</v>
      </c>
      <c r="J523" s="188">
        <f ca="1">IFERROR(__xludf.DUMMYFUNCTION("IMPORTRANGE(""https://docs.google.com/spreadsheets/d/1SX6NBoVAgQJ6U1MVXOaj8PK2l7WJ3RER9xtqwdhxkhw/edit?usp=sharing"",""ชลบุรี!J418"")"),4494)</f>
        <v>4494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IFERROR(__xludf.DUMMYFUNCTION("IMPORTRANGE(""https://docs.google.com/spreadsheets/d/1SX6NBoVAgQJ6U1MVXOaj8PK2l7WJ3RER9xtqwdhxkhw/edit?usp=sharing"",""ชลบุรี!I419"")"),0)</f>
        <v>0</v>
      </c>
      <c r="J524" s="188">
        <f ca="1">IFERROR(__xludf.DUMMYFUNCTION("IMPORTRANGE(""https://docs.google.com/spreadsheets/d/1SX6NBoVAgQJ6U1MVXOaj8PK2l7WJ3RER9xtqwdhxkhw/edit?usp=sharing"",""ชลบุรี!J419"")"),115)</f>
        <v>115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IFERROR(__xludf.DUMMYFUNCTION("IMPORTRANGE(""https://docs.google.com/spreadsheets/d/1SX6NBoVAgQJ6U1MVXOaj8PK2l7WJ3RER9xtqwdhxkhw/edit?usp=sharing"",""ชลบุรี!I420"")"),4494)</f>
        <v>4494</v>
      </c>
      <c r="J525" s="285">
        <f ca="1">IFERROR(__xludf.DUMMYFUNCTION("IMPORTRANGE(""https://docs.google.com/spreadsheets/d/1SX6NBoVAgQJ6U1MVXOaj8PK2l7WJ3RER9xtqwdhxkhw/edit?usp=sharing"",""ชลบุรี!J420"")"),4494.41)</f>
        <v>4494.41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IFERROR(__xludf.DUMMYFUNCTION("IMPORTRANGE(""https://docs.google.com/spreadsheets/d/1SX6NBoVAgQJ6U1MVXOaj8PK2l7WJ3RER9xtqwdhxkhw/edit?usp=sharing"",""ชลบุรี!I421"")"),115)</f>
        <v>115</v>
      </c>
      <c r="J526" s="285">
        <f ca="1">IFERROR(__xludf.DUMMYFUNCTION("IMPORTRANGE(""https://docs.google.com/spreadsheets/d/1SX6NBoVAgQJ6U1MVXOaj8PK2l7WJ3RER9xtqwdhxkhw/edit?usp=sharing"",""ชลบุรี!J421"")"),115)</f>
        <v>115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IFERROR(__xludf.DUMMYFUNCTION("IMPORTRANGE(""https://docs.google.com/spreadsheets/d/1SX6NBoVAgQJ6U1MVXOaj8PK2l7WJ3RER9xtqwdhxkhw/edit?usp=sharing"",""ชลบุรี!I422"")"),0)</f>
        <v>0</v>
      </c>
      <c r="J527" s="198">
        <f ca="1">IFERROR(__xludf.DUMMYFUNCTION("IMPORTRANGE(""https://docs.google.com/spreadsheets/d/1SX6NBoVAgQJ6U1MVXOaj8PK2l7WJ3RER9xtqwdhxkhw/edit?usp=sharing"",""ชลบุรี!J422"")"),4344.76)</f>
        <v>4344.76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IFERROR(__xludf.DUMMYFUNCTION("IMPORTRANGE(""https://docs.google.com/spreadsheets/d/1SX6NBoVAgQJ6U1MVXOaj8PK2l7WJ3RER9xtqwdhxkhw/edit?usp=sharing"",""ชลบุรี!I423"")"),0)</f>
        <v>0</v>
      </c>
      <c r="J528" s="198">
        <f ca="1">IFERROR(__xludf.DUMMYFUNCTION("IMPORTRANGE(""https://docs.google.com/spreadsheets/d/1SX6NBoVAgQJ6U1MVXOaj8PK2l7WJ3RER9xtqwdhxkhw/edit?usp=sharing"",""ชลบุรี!J423"")"),104)</f>
        <v>104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IFERROR(__xludf.DUMMYFUNCTION("IMPORTRANGE(""https://docs.google.com/spreadsheets/d/1SX6NBoVAgQJ6U1MVXOaj8PK2l7WJ3RER9xtqwdhxkhw/edit?usp=sharing"",""ชลบุรี!I424"")"),0)</f>
        <v>0</v>
      </c>
      <c r="J529" s="198">
        <f ca="1">IFERROR(__xludf.DUMMYFUNCTION("IMPORTRANGE(""https://docs.google.com/spreadsheets/d/1SX6NBoVAgQJ6U1MVXOaj8PK2l7WJ3RER9xtqwdhxkhw/edit?usp=sharing"",""ชลบุรี!J424"")"),149.65)</f>
        <v>149.65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IFERROR(__xludf.DUMMYFUNCTION("IMPORTRANGE(""https://docs.google.com/spreadsheets/d/1SX6NBoVAgQJ6U1MVXOaj8PK2l7WJ3RER9xtqwdhxkhw/edit?usp=sharing"",""ชลบุรี!I425"")"),0)</f>
        <v>0</v>
      </c>
      <c r="J530" s="198">
        <f ca="1">IFERROR(__xludf.DUMMYFUNCTION("IMPORTRANGE(""https://docs.google.com/spreadsheets/d/1SX6NBoVAgQJ6U1MVXOaj8PK2l7WJ3RER9xtqwdhxkhw/edit?usp=sharing"",""ชลบุรี!J425"")"),11)</f>
        <v>11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IFERROR(__xludf.DUMMYFUNCTION("IMPORTRANGE(""https://docs.google.com/spreadsheets/d/1SX6NBoVAgQJ6U1MVXOaj8PK2l7WJ3RER9xtqwdhxkhw/edit?usp=sharing"",""ชลบุรี!I426"")"),0)</f>
        <v>0</v>
      </c>
      <c r="J531" s="198">
        <f ca="1">IFERROR(__xludf.DUMMYFUNCTION("IMPORTRANGE(""https://docs.google.com/spreadsheets/d/1SX6NBoVAgQJ6U1MVXOaj8PK2l7WJ3RER9xtqwdhxkhw/edit?usp=sharing"",""ชลบุรี!J426"")"),0)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IFERROR(__xludf.DUMMYFUNCTION("IMPORTRANGE(""https://docs.google.com/spreadsheets/d/1SX6NBoVAgQJ6U1MVXOaj8PK2l7WJ3RER9xtqwdhxkhw/edit?usp=sharing"",""ชลบุรี!I427"")"),0)</f>
        <v>0</v>
      </c>
      <c r="J532" s="466">
        <f ca="1">IFERROR(__xludf.DUMMYFUNCTION("IMPORTRANGE(""https://docs.google.com/spreadsheets/d/1SX6NBoVAgQJ6U1MVXOaj8PK2l7WJ3RER9xtqwdhxkhw/edit?usp=sharing"",""ชลบุรี!J427"")"),0)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IFERROR(__xludf.DUMMYFUNCTION("IMPORTRANGE(""https://docs.google.com/spreadsheets/d/1SX6NBoVAgQJ6U1MVXOaj8PK2l7WJ3RER9xtqwdhxkhw/edit?usp=sharing"",""ชลบุรี!I428"")"),20)</f>
        <v>20</v>
      </c>
      <c r="J533" s="410">
        <f ca="1">IFERROR(__xludf.DUMMYFUNCTION("IMPORTRANGE(""https://docs.google.com/spreadsheets/d/1SX6NBoVAgQJ6U1MVXOaj8PK2l7WJ3RER9xtqwdhxkhw/edit?usp=sharing"",""ชลบุรี!J428"")"),20)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IFERROR(__xludf.DUMMYFUNCTION("IMPORTRANGE(""https://docs.google.com/spreadsheets/d/1SX6NBoVAgQJ6U1MVXOaj8PK2l7WJ3RER9xtqwdhxkhw/edit?usp=sharing"",""ชลบุรี!L428"")"),32640)</f>
        <v>32640</v>
      </c>
      <c r="M533" s="412"/>
      <c r="N533" s="412">
        <f ca="1">IFERROR(__xludf.DUMMYFUNCTION("IMPORTRANGE(""https://docs.google.com/spreadsheets/d/1SX6NBoVAgQJ6U1MVXOaj8PK2l7WJ3RER9xtqwdhxkhw/edit?usp=sharing"",""ชลบุรี!M428"")"),14840)</f>
        <v>14840</v>
      </c>
      <c r="O533" s="412">
        <f t="shared" ref="O533:O537" ca="1" si="118">+IF(L533&gt;0,N533*100/L533,0)</f>
        <v>45.465686274509807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IFERROR(__xludf.DUMMYFUNCTION("IMPORTRANGE(""https://docs.google.com/spreadsheets/d/1SX6NBoVAgQJ6U1MVXOaj8PK2l7WJ3RER9xtqwdhxkhw/edit?usp=sharing"",""ชลบุรี!L429"")"),0)</f>
        <v>0</v>
      </c>
      <c r="M534" s="164"/>
      <c r="N534" s="169">
        <f ca="1">IFERROR(__xludf.DUMMYFUNCTION("IMPORTRANGE(""https://docs.google.com/spreadsheets/d/1SX6NBoVAgQJ6U1MVXOaj8PK2l7WJ3RER9xtqwdhxkhw/edit?usp=sharing"",""ชลบุรี!M429"")"),0)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IFERROR(__xludf.DUMMYFUNCTION("IMPORTRANGE(""https://docs.google.com/spreadsheets/d/1SX6NBoVAgQJ6U1MVXOaj8PK2l7WJ3RER9xtqwdhxkhw/edit?usp=sharing"",""ชลบุรี!L430"")"),32640)</f>
        <v>32640</v>
      </c>
      <c r="M535" s="165"/>
      <c r="N535" s="169">
        <f ca="1">IFERROR(__xludf.DUMMYFUNCTION("IMPORTRANGE(""https://docs.google.com/spreadsheets/d/1SX6NBoVAgQJ6U1MVXOaj8PK2l7WJ3RER9xtqwdhxkhw/edit?usp=sharing"",""ชลบุรี!M430"")"),14840)</f>
        <v>14840</v>
      </c>
      <c r="O535" s="169">
        <f t="shared" ca="1" si="118"/>
        <v>45.465686274509807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IFERROR(__xludf.DUMMYFUNCTION("IMPORTRANGE(""https://docs.google.com/spreadsheets/d/1SX6NBoVAgQJ6U1MVXOaj8PK2l7WJ3RER9xtqwdhxkhw/edit?usp=sharing"",""ชลบุรี!L431"")"),0)</f>
        <v>0</v>
      </c>
      <c r="M536" s="169"/>
      <c r="N536" s="169">
        <f ca="1">IFERROR(__xludf.DUMMYFUNCTION("IMPORTRANGE(""https://docs.google.com/spreadsheets/d/1SX6NBoVAgQJ6U1MVXOaj8PK2l7WJ3RER9xtqwdhxkhw/edit?usp=sharing"",""ชลบุรี!M431"")"),0)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IFERROR(__xludf.DUMMYFUNCTION("IMPORTRANGE(""https://docs.google.com/spreadsheets/d/1SX6NBoVAgQJ6U1MVXOaj8PK2l7WJ3RER9xtqwdhxkhw/edit?usp=sharing"",""ชลบุรี!L432"")"),32640)</f>
        <v>32640</v>
      </c>
      <c r="M537" s="169"/>
      <c r="N537" s="169">
        <f ca="1">IFERROR(__xludf.DUMMYFUNCTION("IMPORTRANGE(""https://docs.google.com/spreadsheets/d/1SX6NBoVAgQJ6U1MVXOaj8PK2l7WJ3RER9xtqwdhxkhw/edit?usp=sharing"",""ชลบุรี!M432"")"),14840)</f>
        <v>14840</v>
      </c>
      <c r="O537" s="169">
        <f t="shared" ca="1" si="118"/>
        <v>45.465686274509807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IFERROR(__xludf.DUMMYFUNCTION("IMPORTRANGE(""https://docs.google.com/spreadsheets/d/1SX6NBoVAgQJ6U1MVXOaj8PK2l7WJ3RER9xtqwdhxkhw/edit?usp=sharing"",""ชลบุรี!M433"")"),13600)</f>
        <v>13600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IFERROR(__xludf.DUMMYFUNCTION("IMPORTRANGE(""https://docs.google.com/spreadsheets/d/1SX6NBoVAgQJ6U1MVXOaj8PK2l7WJ3RER9xtqwdhxkhw/edit?usp=sharing"",""ชลบุรี!M434"")"),0)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IFERROR(__xludf.DUMMYFUNCTION("IMPORTRANGE(""https://docs.google.com/spreadsheets/d/1SX6NBoVAgQJ6U1MVXOaj8PK2l7WJ3RER9xtqwdhxkhw/edit?usp=sharing"",""ชลบุรี!M435"")"),0)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IFERROR(__xludf.DUMMYFUNCTION("IMPORTRANGE(""https://docs.google.com/spreadsheets/d/1SX6NBoVAgQJ6U1MVXOaj8PK2l7WJ3RER9xtqwdhxkhw/edit?usp=sharing"",""ชลบุรี!M436"")"),1240)</f>
        <v>1240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IFERROR(__xludf.DUMMYFUNCTION("IMPORTRANGE(""https://docs.google.com/spreadsheets/d/1SX6NBoVAgQJ6U1MVXOaj8PK2l7WJ3RER9xtqwdhxkhw/edit?usp=sharing"",""ชลบุรี!J438"")"),0)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IFERROR(__xludf.DUMMYFUNCTION("IMPORTRANGE(""https://docs.google.com/spreadsheets/d/1SX6NBoVAgQJ6U1MVXOaj8PK2l7WJ3RER9xtqwdhxkhw/edit?usp=sharing"",""ชลบุรี!J439"")"),1)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IFERROR(__xludf.DUMMYFUNCTION("IMPORTRANGE(""https://docs.google.com/spreadsheets/d/1SX6NBoVAgQJ6U1MVXOaj8PK2l7WJ3RER9xtqwdhxkhw/edit?usp=sharing"",""ชลบุรี!J440"")"),1)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IFERROR(__xludf.DUMMYFUNCTION("IMPORTRANGE(""https://docs.google.com/spreadsheets/d/1SX6NBoVAgQJ6U1MVXOaj8PK2l7WJ3RER9xtqwdhxkhw/edit?usp=sharing"",""ชลบุรี!J441"")"),1)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IFERROR(__xludf.DUMMYFUNCTION("IMPORTRANGE(""https://docs.google.com/spreadsheets/d/1SX6NBoVAgQJ6U1MVXOaj8PK2l7WJ3RER9xtqwdhxkhw/edit?usp=sharing"",""ชลบุรี!I442"")"),20)</f>
        <v>20</v>
      </c>
      <c r="J547" s="189">
        <f ca="1">IFERROR(__xludf.DUMMYFUNCTION("IMPORTRANGE(""https://docs.google.com/spreadsheets/d/1SX6NBoVAgQJ6U1MVXOaj8PK2l7WJ3RER9xtqwdhxkhw/edit?usp=sharing"",""ชลบุรี!J442"")"),20)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IFERROR(__xludf.DUMMYFUNCTION("IMPORTRANGE(""https://docs.google.com/spreadsheets/d/1SX6NBoVAgQJ6U1MVXOaj8PK2l7WJ3RER9xtqwdhxkhw/edit?usp=sharing"",""ชลบุรี!J166"")"),0)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IFERROR(__xludf.DUMMYFUNCTION("IMPORTRANGE(""https://docs.google.com/spreadsheets/d/1SX6NBoVAgQJ6U1MVXOaj8PK2l7WJ3RER9xtqwdhxkhw/edit?usp=sharing"",""ชลบุรี!J444"")"),0)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IFERROR(__xludf.DUMMYFUNCTION("IMPORTRANGE(""https://docs.google.com/spreadsheets/d/1SX6NBoVAgQJ6U1MVXOaj8PK2l7WJ3RER9xtqwdhxkhw/edit?usp=sharing"",""ชลบุรี!J445"")"),0)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IFERROR(__xludf.DUMMYFUNCTION("IMPORTRANGE(""https://docs.google.com/spreadsheets/d/1SX6NBoVAgQJ6U1MVXOaj8PK2l7WJ3RER9xtqwdhxkhw/edit?usp=sharing"",""ชลบุรี!I446"")"),0)</f>
        <v>0</v>
      </c>
      <c r="J551" s="410">
        <f ca="1">IFERROR(__xludf.DUMMYFUNCTION("IMPORTRANGE(""https://docs.google.com/spreadsheets/d/1SX6NBoVAgQJ6U1MVXOaj8PK2l7WJ3RER9xtqwdhxkhw/edit?usp=sharing"",""ชลบุรี!J446"")"),0)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IFERROR(__xludf.DUMMYFUNCTION("IMPORTRANGE(""https://docs.google.com/spreadsheets/d/1SX6NBoVAgQJ6U1MVXOaj8PK2l7WJ3RER9xtqwdhxkhw/edit?usp=sharing"",""ชลบุรี!L446"")"),0)</f>
        <v>0</v>
      </c>
      <c r="M551" s="412"/>
      <c r="N551" s="412">
        <f ca="1">IFERROR(__xludf.DUMMYFUNCTION("IMPORTRANGE(""https://docs.google.com/spreadsheets/d/1SX6NBoVAgQJ6U1MVXOaj8PK2l7WJ3RER9xtqwdhxkhw/edit?usp=sharing"",""ชลบุรี!M446"")"),0)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IFERROR(__xludf.DUMMYFUNCTION("IMPORTRANGE(""https://docs.google.com/spreadsheets/d/1SX6NBoVAgQJ6U1MVXOaj8PK2l7WJ3RER9xtqwdhxkhw/edit?usp=sharing"",""ชลบุรี!L447"")"),0)</f>
        <v>0</v>
      </c>
      <c r="M552" s="164"/>
      <c r="N552" s="169">
        <f ca="1">IFERROR(__xludf.DUMMYFUNCTION("IMPORTRANGE(""https://docs.google.com/spreadsheets/d/1SX6NBoVAgQJ6U1MVXOaj8PK2l7WJ3RER9xtqwdhxkhw/edit?usp=sharing"",""ชลบุรี!M447"")"),0)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IFERROR(__xludf.DUMMYFUNCTION("IMPORTRANGE(""https://docs.google.com/spreadsheets/d/1SX6NBoVAgQJ6U1MVXOaj8PK2l7WJ3RER9xtqwdhxkhw/edit?usp=sharing"",""ชลบุรี!L448"")"),0)</f>
        <v>0</v>
      </c>
      <c r="M553" s="165"/>
      <c r="N553" s="169">
        <f ca="1">IFERROR(__xludf.DUMMYFUNCTION("IMPORTRANGE(""https://docs.google.com/spreadsheets/d/1SX6NBoVAgQJ6U1MVXOaj8PK2l7WJ3RER9xtqwdhxkhw/edit?usp=sharing"",""ชลบุรี!M448"")"),0)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IFERROR(__xludf.DUMMYFUNCTION("IMPORTRANGE(""https://docs.google.com/spreadsheets/d/1SX6NBoVAgQJ6U1MVXOaj8PK2l7WJ3RER9xtqwdhxkhw/edit?usp=sharing"",""ชลบุรี!L449"")"),0)</f>
        <v>0</v>
      </c>
      <c r="M554" s="169"/>
      <c r="N554" s="169">
        <f ca="1">IFERROR(__xludf.DUMMYFUNCTION("IMPORTRANGE(""https://docs.google.com/spreadsheets/d/1SX6NBoVAgQJ6U1MVXOaj8PK2l7WJ3RER9xtqwdhxkhw/edit?usp=sharing"",""ชลบุรี!M449"")"),0)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IFERROR(__xludf.DUMMYFUNCTION("IMPORTRANGE(""https://docs.google.com/spreadsheets/d/1SX6NBoVAgQJ6U1MVXOaj8PK2l7WJ3RER9xtqwdhxkhw/edit?usp=sharing"",""ชลบุรี!L450"")"),0)</f>
        <v>0</v>
      </c>
      <c r="M555" s="169"/>
      <c r="N555" s="169">
        <f ca="1">IFERROR(__xludf.DUMMYFUNCTION("IMPORTRANGE(""https://docs.google.com/spreadsheets/d/1SX6NBoVAgQJ6U1MVXOaj8PK2l7WJ3RER9xtqwdhxkhw/edit?usp=sharing"",""ชลบุรี!M450"")"),0)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IFERROR(__xludf.DUMMYFUNCTION("IMPORTRANGE(""https://docs.google.com/spreadsheets/d/1SX6NBoVAgQJ6U1MVXOaj8PK2l7WJ3RER9xtqwdhxkhw/edit?usp=sharing"",""ชลบุรี!M451"")"),0)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IFERROR(__xludf.DUMMYFUNCTION("IMPORTRANGE(""https://docs.google.com/spreadsheets/d/1SX6NBoVAgQJ6U1MVXOaj8PK2l7WJ3RER9xtqwdhxkhw/edit?usp=sharing"",""ชลบุรี!M452"")"),0)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IFERROR(__xludf.DUMMYFUNCTION("IMPORTRANGE(""https://docs.google.com/spreadsheets/d/1SX6NBoVAgQJ6U1MVXOaj8PK2l7WJ3RER9xtqwdhxkhw/edit?usp=sharing"",""ชลบุรี!M453"")"),0)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IFERROR(__xludf.DUMMYFUNCTION("IMPORTRANGE(""https://docs.google.com/spreadsheets/d/1SX6NBoVAgQJ6U1MVXOaj8PK2l7WJ3RER9xtqwdhxkhw/edit?usp=sharing"",""ชลบุรี!M454"")"),0)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IFERROR(__xludf.DUMMYFUNCTION("IMPORTRANGE(""https://docs.google.com/spreadsheets/d/1SX6NBoVAgQJ6U1MVXOaj8PK2l7WJ3RER9xtqwdhxkhw/edit?usp=sharing"",""ชลบุรี!I455"")"),0)</f>
        <v>0</v>
      </c>
      <c r="J560" s="162">
        <f ca="1">IFERROR(__xludf.DUMMYFUNCTION("IMPORTRANGE(""https://docs.google.com/spreadsheets/d/1SX6NBoVAgQJ6U1MVXOaj8PK2l7WJ3RER9xtqwdhxkhw/edit?usp=sharing"",""ชลบุรี!J455"")"),0)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IFERROR(__xludf.DUMMYFUNCTION("IMPORTRANGE(""https://docs.google.com/spreadsheets/d/1SX6NBoVAgQJ6U1MVXOaj8PK2l7WJ3RER9xtqwdhxkhw/edit?usp=sharing"",""ชลบุรี!I456"")"),0)</f>
        <v>0</v>
      </c>
      <c r="J561" s="204">
        <f ca="1">IFERROR(__xludf.DUMMYFUNCTION("IMPORTRANGE(""https://docs.google.com/spreadsheets/d/1SX6NBoVAgQJ6U1MVXOaj8PK2l7WJ3RER9xtqwdhxkhw/edit?usp=sharing"",""ชลบุรี!J456"")"),0)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IFERROR(__xludf.DUMMYFUNCTION("IMPORTRANGE(""https://docs.google.com/spreadsheets/d/1SX6NBoVAgQJ6U1MVXOaj8PK2l7WJ3RER9xtqwdhxkhw/edit?usp=sharing"",""ชลบุรี!I459"")"),900)</f>
        <v>900</v>
      </c>
      <c r="J564" s="371">
        <f ca="1">IFERROR(__xludf.DUMMYFUNCTION("IMPORTRANGE(""https://docs.google.com/spreadsheets/d/1SX6NBoVAgQJ6U1MVXOaj8PK2l7WJ3RER9xtqwdhxkhw/edit?usp=sharing"",""ชลบุรี!J459"")"),3056)</f>
        <v>3056</v>
      </c>
      <c r="K564" s="372">
        <f ca="1">IF(I564&gt;0,J564*100/I564,0)</f>
        <v>339.55555555555554</v>
      </c>
      <c r="L564" s="373">
        <f ca="1">IFERROR(__xludf.DUMMYFUNCTION("IMPORTRANGE(""https://docs.google.com/spreadsheets/d/1SX6NBoVAgQJ6U1MVXOaj8PK2l7WJ3RER9xtqwdhxkhw/edit?usp=sharing"",""ชลบุรี!L459"")"),121120)</f>
        <v>121120</v>
      </c>
      <c r="M564" s="373"/>
      <c r="N564" s="373">
        <f ca="1">IFERROR(__xludf.DUMMYFUNCTION("IMPORTRANGE(""https://docs.google.com/spreadsheets/d/1SX6NBoVAgQJ6U1MVXOaj8PK2l7WJ3RER9xtqwdhxkhw/edit?usp=sharing"",""ชลบุรี!M459"")"),81177.85)</f>
        <v>81177.850000000006</v>
      </c>
      <c r="O564" s="373">
        <f t="shared" ref="O564:O568" ca="1" si="122">+IF(L564&gt;0,N564*100/L564,0)</f>
        <v>67.022663474240431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IFERROR(__xludf.DUMMYFUNCTION("IMPORTRANGE(""https://docs.google.com/spreadsheets/d/1SX6NBoVAgQJ6U1MVXOaj8PK2l7WJ3RER9xtqwdhxkhw/edit?usp=sharing"",""ชลบุรี!L460"")"),0)</f>
        <v>0</v>
      </c>
      <c r="M565" s="164"/>
      <c r="N565" s="169">
        <f ca="1">IFERROR(__xludf.DUMMYFUNCTION("IMPORTRANGE(""https://docs.google.com/spreadsheets/d/1SX6NBoVAgQJ6U1MVXOaj8PK2l7WJ3RER9xtqwdhxkhw/edit?usp=sharing"",""ชลบุรี!M460"")"),0)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IFERROR(__xludf.DUMMYFUNCTION("IMPORTRANGE(""https://docs.google.com/spreadsheets/d/1SX6NBoVAgQJ6U1MVXOaj8PK2l7WJ3RER9xtqwdhxkhw/edit?usp=sharing"",""ชลบุรี!L461"")"),121120)</f>
        <v>121120</v>
      </c>
      <c r="M566" s="165"/>
      <c r="N566" s="169">
        <f ca="1">IFERROR(__xludf.DUMMYFUNCTION("IMPORTRANGE(""https://docs.google.com/spreadsheets/d/1SX6NBoVAgQJ6U1MVXOaj8PK2l7WJ3RER9xtqwdhxkhw/edit?usp=sharing"",""ชลบุรี!M461"")"),81177.85)</f>
        <v>81177.850000000006</v>
      </c>
      <c r="O566" s="169">
        <f t="shared" ca="1" si="122"/>
        <v>67.022663474240431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IFERROR(__xludf.DUMMYFUNCTION("IMPORTRANGE(""https://docs.google.com/spreadsheets/d/1SX6NBoVAgQJ6U1MVXOaj8PK2l7WJ3RER9xtqwdhxkhw/edit?usp=sharing"",""ชลบุรี!L462"")"),0)</f>
        <v>0</v>
      </c>
      <c r="M567" s="169"/>
      <c r="N567" s="169">
        <f ca="1">IFERROR(__xludf.DUMMYFUNCTION("IMPORTRANGE(""https://docs.google.com/spreadsheets/d/1SX6NBoVAgQJ6U1MVXOaj8PK2l7WJ3RER9xtqwdhxkhw/edit?usp=sharing"",""ชลบุรี!M462"")"),0)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IFERROR(__xludf.DUMMYFUNCTION("IMPORTRANGE(""https://docs.google.com/spreadsheets/d/1SX6NBoVAgQJ6U1MVXOaj8PK2l7WJ3RER9xtqwdhxkhw/edit?usp=sharing"",""ชลบุรี!L463"")"),121120)</f>
        <v>121120</v>
      </c>
      <c r="M568" s="169"/>
      <c r="N568" s="169">
        <f ca="1">IFERROR(__xludf.DUMMYFUNCTION("IMPORTRANGE(""https://docs.google.com/spreadsheets/d/1SX6NBoVAgQJ6U1MVXOaj8PK2l7WJ3RER9xtqwdhxkhw/edit?usp=sharing"",""ชลบุรี!M463"")"),81177.85)</f>
        <v>81177.850000000006</v>
      </c>
      <c r="O568" s="169">
        <f t="shared" ca="1" si="122"/>
        <v>67.022663474240431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IFERROR(__xludf.DUMMYFUNCTION("IMPORTRANGE(""https://docs.google.com/spreadsheets/d/1SX6NBoVAgQJ6U1MVXOaj8PK2l7WJ3RER9xtqwdhxkhw/edit?usp=sharing"",""ชลบุรี!M464"")"),0)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IFERROR(__xludf.DUMMYFUNCTION("IMPORTRANGE(""https://docs.google.com/spreadsheets/d/1SX6NBoVAgQJ6U1MVXOaj8PK2l7WJ3RER9xtqwdhxkhw/edit?usp=sharing"",""ชลบุรี!M465"")"),0)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IFERROR(__xludf.DUMMYFUNCTION("IMPORTRANGE(""https://docs.google.com/spreadsheets/d/1SX6NBoVAgQJ6U1MVXOaj8PK2l7WJ3RER9xtqwdhxkhw/edit?usp=sharing"",""ชลบุรี!M466"")"),59057.85)</f>
        <v>59057.85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IFERROR(__xludf.DUMMYFUNCTION("IMPORTRANGE(""https://docs.google.com/spreadsheets/d/1SX6NBoVAgQJ6U1MVXOaj8PK2l7WJ3RER9xtqwdhxkhw/edit?usp=sharing"",""ชลบุรี!M467"")"),22120)</f>
        <v>22120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IFERROR(__xludf.DUMMYFUNCTION("IMPORTRANGE(""https://docs.google.com/spreadsheets/d/1SX6NBoVAgQJ6U1MVXOaj8PK2l7WJ3RER9xtqwdhxkhw/edit?usp=sharing"",""ชลบุรี!I468"")"),900)</f>
        <v>900</v>
      </c>
      <c r="J573" s="420">
        <f ca="1">IFERROR(__xludf.DUMMYFUNCTION("IMPORTRANGE(""https://docs.google.com/spreadsheets/d/1SX6NBoVAgQJ6U1MVXOaj8PK2l7WJ3RER9xtqwdhxkhw/edit?usp=sharing"",""ชลบุรี!J468"")"),3056)</f>
        <v>3056</v>
      </c>
      <c r="K573" s="202">
        <f ca="1">IF(I573&gt;0,J573*100/I573,0)</f>
        <v>339.55555555555554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IFERROR(__xludf.DUMMYFUNCTION("IMPORTRANGE(""https://docs.google.com/spreadsheets/d/1SX6NBoVAgQJ6U1MVXOaj8PK2l7WJ3RER9xtqwdhxkhw/edit?usp=sharing"",""ชลบุรี!I470"")"),0)</f>
        <v>0</v>
      </c>
      <c r="J575" s="198">
        <f ca="1">IFERROR(__xludf.DUMMYFUNCTION("IMPORTRANGE(""https://docs.google.com/spreadsheets/d/1SX6NBoVAgQJ6U1MVXOaj8PK2l7WJ3RER9xtqwdhxkhw/edit?usp=sharing"",""ชลบุรี!J470"")"),3)</f>
        <v>3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IFERROR(__xludf.DUMMYFUNCTION("IMPORTRANGE(""https://docs.google.com/spreadsheets/d/1SX6NBoVAgQJ6U1MVXOaj8PK2l7WJ3RER9xtqwdhxkhw/edit?usp=sharing"",""ชลบุรี!I471"")"),0)</f>
        <v>0</v>
      </c>
      <c r="J576" s="198">
        <f ca="1">IFERROR(__xludf.DUMMYFUNCTION("IMPORTRANGE(""https://docs.google.com/spreadsheets/d/1SX6NBoVAgQJ6U1MVXOaj8PK2l7WJ3RER9xtqwdhxkhw/edit?usp=sharing"",""ชลบุรี!J471"")"),65)</f>
        <v>65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IFERROR(__xludf.DUMMYFUNCTION("IMPORTRANGE(""https://docs.google.com/spreadsheets/d/1SX6NBoVAgQJ6U1MVXOaj8PK2l7WJ3RER9xtqwdhxkhw/edit?usp=sharing"",""ชลบุรี!I472"")"),0)</f>
        <v>0</v>
      </c>
      <c r="J577" s="189">
        <f ca="1">IFERROR(__xludf.DUMMYFUNCTION("IMPORTRANGE(""https://docs.google.com/spreadsheets/d/1SX6NBoVAgQJ6U1MVXOaj8PK2l7WJ3RER9xtqwdhxkhw/edit?usp=sharing"",""ชลบุรี!J472"")"),2991)</f>
        <v>2991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IFERROR(__xludf.DUMMYFUNCTION("IMPORTRANGE(""https://docs.google.com/spreadsheets/d/1SX6NBoVAgQJ6U1MVXOaj8PK2l7WJ3RER9xtqwdhxkhw/edit?usp=sharing"",""ชลบุรี!I473"")"),0)</f>
        <v>0</v>
      </c>
      <c r="J578" s="198">
        <f ca="1">IFERROR(__xludf.DUMMYFUNCTION("IMPORTRANGE(""https://docs.google.com/spreadsheets/d/1SX6NBoVAgQJ6U1MVXOaj8PK2l7WJ3RER9xtqwdhxkhw/edit?usp=sharing"",""ชลบุรี!J473"")"),0)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IFERROR(__xludf.DUMMYFUNCTION("IMPORTRANGE(""https://docs.google.com/spreadsheets/d/1SX6NBoVAgQJ6U1MVXOaj8PK2l7WJ3RER9xtqwdhxkhw/edit?usp=sharing"",""ชลบุรี!I474"")"),0)</f>
        <v>0</v>
      </c>
      <c r="J579" s="198">
        <f ca="1">IFERROR(__xludf.DUMMYFUNCTION("IMPORTRANGE(""https://docs.google.com/spreadsheets/d/1SX6NBoVAgQJ6U1MVXOaj8PK2l7WJ3RER9xtqwdhxkhw/edit?usp=sharing"",""ชลบุรี!J474"")"),0)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IFERROR(__xludf.DUMMYFUNCTION("IMPORTRANGE(""https://docs.google.com/spreadsheets/d/1SX6NBoVAgQJ6U1MVXOaj8PK2l7WJ3RER9xtqwdhxkhw/edit?usp=sharing"",""ชลบุรี!I475"")"),0)</f>
        <v>0</v>
      </c>
      <c r="J580" s="371">
        <f ca="1">IFERROR(__xludf.DUMMYFUNCTION("IMPORTRANGE(""https://docs.google.com/spreadsheets/d/1SX6NBoVAgQJ6U1MVXOaj8PK2l7WJ3RER9xtqwdhxkhw/edit?usp=sharing"",""ชลบุรี!J475"")"),4)</f>
        <v>4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IFERROR(__xludf.DUMMYFUNCTION("IMPORTRANGE(""https://docs.google.com/spreadsheets/d/1SX6NBoVAgQJ6U1MVXOaj8PK2l7WJ3RER9xtqwdhxkhw/edit?usp=sharing"",""ชลบุรี!L475"")"),49000)</f>
        <v>49000</v>
      </c>
      <c r="M580" s="373"/>
      <c r="N580" s="373">
        <f ca="1">IFERROR(__xludf.DUMMYFUNCTION("IMPORTRANGE(""https://docs.google.com/spreadsheets/d/1SX6NBoVAgQJ6U1MVXOaj8PK2l7WJ3RER9xtqwdhxkhw/edit?usp=sharing"",""ชลบุรี!M475"")"),0)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IFERROR(__xludf.DUMMYFUNCTION("IMPORTRANGE(""https://docs.google.com/spreadsheets/d/1SX6NBoVAgQJ6U1MVXOaj8PK2l7WJ3RER9xtqwdhxkhw/edit?usp=sharing"",""ชลบุรี!L476"")"),0)</f>
        <v>0</v>
      </c>
      <c r="M581" s="164"/>
      <c r="N581" s="169">
        <f ca="1">IFERROR(__xludf.DUMMYFUNCTION("IMPORTRANGE(""https://docs.google.com/spreadsheets/d/1SX6NBoVAgQJ6U1MVXOaj8PK2l7WJ3RER9xtqwdhxkhw/edit?usp=sharing"",""ชลบุรี!M476"")"),0)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IFERROR(__xludf.DUMMYFUNCTION("IMPORTRANGE(""https://docs.google.com/spreadsheets/d/1SX6NBoVAgQJ6U1MVXOaj8PK2l7WJ3RER9xtqwdhxkhw/edit?usp=sharing"",""ชลบุรี!L477"")"),49000)</f>
        <v>49000</v>
      </c>
      <c r="M582" s="165"/>
      <c r="N582" s="169">
        <f ca="1">IFERROR(__xludf.DUMMYFUNCTION("IMPORTRANGE(""https://docs.google.com/spreadsheets/d/1SX6NBoVAgQJ6U1MVXOaj8PK2l7WJ3RER9xtqwdhxkhw/edit?usp=sharing"",""ชลบุรี!M477"")"),0)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IFERROR(__xludf.DUMMYFUNCTION("IMPORTRANGE(""https://docs.google.com/spreadsheets/d/1SX6NBoVAgQJ6U1MVXOaj8PK2l7WJ3RER9xtqwdhxkhw/edit?usp=sharing"",""ชลบุรี!L478"")"),0)</f>
        <v>0</v>
      </c>
      <c r="M583" s="169"/>
      <c r="N583" s="169">
        <f ca="1">IFERROR(__xludf.DUMMYFUNCTION("IMPORTRANGE(""https://docs.google.com/spreadsheets/d/1SX6NBoVAgQJ6U1MVXOaj8PK2l7WJ3RER9xtqwdhxkhw/edit?usp=sharing"",""ชลบุรี!M478"")"),0)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IFERROR(__xludf.DUMMYFUNCTION("IMPORTRANGE(""https://docs.google.com/spreadsheets/d/1SX6NBoVAgQJ6U1MVXOaj8PK2l7WJ3RER9xtqwdhxkhw/edit?usp=sharing"",""ชลบุรี!L479"")"),49000)</f>
        <v>49000</v>
      </c>
      <c r="M584" s="169"/>
      <c r="N584" s="169">
        <f ca="1">IFERROR(__xludf.DUMMYFUNCTION("IMPORTRANGE(""https://docs.google.com/spreadsheets/d/1SX6NBoVAgQJ6U1MVXOaj8PK2l7WJ3RER9xtqwdhxkhw/edit?usp=sharing"",""ชลบุรี!M479"")"),0)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IFERROR(__xludf.DUMMYFUNCTION("IMPORTRANGE(""https://docs.google.com/spreadsheets/d/1SX6NBoVAgQJ6U1MVXOaj8PK2l7WJ3RER9xtqwdhxkhw/edit?usp=sharing"",""ชลบุรี!M480"")"),0)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IFERROR(__xludf.DUMMYFUNCTION("IMPORTRANGE(""https://docs.google.com/spreadsheets/d/1SX6NBoVAgQJ6U1MVXOaj8PK2l7WJ3RER9xtqwdhxkhw/edit?usp=sharing"",""ชลบุรี!M481"")"),0)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IFERROR(__xludf.DUMMYFUNCTION("IMPORTRANGE(""https://docs.google.com/spreadsheets/d/1SX6NBoVAgQJ6U1MVXOaj8PK2l7WJ3RER9xtqwdhxkhw/edit?usp=sharing"",""ชลบุรี!M482"")"),0)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IFERROR(__xludf.DUMMYFUNCTION("IMPORTRANGE(""https://docs.google.com/spreadsheets/d/1SX6NBoVAgQJ6U1MVXOaj8PK2l7WJ3RER9xtqwdhxkhw/edit?usp=sharing"",""ชลบุรี!M483"")"),0)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IFERROR(__xludf.DUMMYFUNCTION("IMPORTRANGE(""https://docs.google.com/spreadsheets/d/1SX6NBoVAgQJ6U1MVXOaj8PK2l7WJ3RER9xtqwdhxkhw/edit?usp=sharing"",""ชลบุรี!I484"")"),0)</f>
        <v>0</v>
      </c>
      <c r="J589" s="188">
        <f ca="1">IFERROR(__xludf.DUMMYFUNCTION("IMPORTRANGE(""https://docs.google.com/spreadsheets/d/1SX6NBoVAgQJ6U1MVXOaj8PK2l7WJ3RER9xtqwdhxkhw/edit?usp=sharing"",""ชลบุรี!J484"")"),8)</f>
        <v>8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IFERROR(__xludf.DUMMYFUNCTION("IMPORTRANGE(""https://docs.google.com/spreadsheets/d/1SX6NBoVAgQJ6U1MVXOaj8PK2l7WJ3RER9xtqwdhxkhw/edit?usp=sharing"",""ชลบุรี!I485"")"),0)</f>
        <v>0</v>
      </c>
      <c r="J590" s="188">
        <f ca="1">IFERROR(__xludf.DUMMYFUNCTION("IMPORTRANGE(""https://docs.google.com/spreadsheets/d/1SX6NBoVAgQJ6U1MVXOaj8PK2l7WJ3RER9xtqwdhxkhw/edit?usp=sharing"",""ชลบุรี!J485"")"),3.28)</f>
        <v>3.28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IFERROR(__xludf.DUMMYFUNCTION("IMPORTRANGE(""https://docs.google.com/spreadsheets/d/1SX6NBoVAgQJ6U1MVXOaj8PK2l7WJ3RER9xtqwdhxkhw/edit?usp=sharing"",""ชลบุรี!I486"")"),0)</f>
        <v>0</v>
      </c>
      <c r="J591" s="188">
        <f ca="1">IFERROR(__xludf.DUMMYFUNCTION("IMPORTRANGE(""https://docs.google.com/spreadsheets/d/1SX6NBoVAgQJ6U1MVXOaj8PK2l7WJ3RER9xtqwdhxkhw/edit?usp=sharing"",""ชลบุรี!J486"")"),9)</f>
        <v>9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IFERROR(__xludf.DUMMYFUNCTION("IMPORTRANGE(""https://docs.google.com/spreadsheets/d/1SX6NBoVAgQJ6U1MVXOaj8PK2l7WJ3RER9xtqwdhxkhw/edit?usp=sharing"",""ชลบุรี!I487"")"),0)</f>
        <v>0</v>
      </c>
      <c r="J592" s="188">
        <f ca="1">IFERROR(__xludf.DUMMYFUNCTION("IMPORTRANGE(""https://docs.google.com/spreadsheets/d/1SX6NBoVAgQJ6U1MVXOaj8PK2l7WJ3RER9xtqwdhxkhw/edit?usp=sharing"",""ชลบุรี!J487"")"),1.42)</f>
        <v>1.42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IFERROR(__xludf.DUMMYFUNCTION("IMPORTRANGE(""https://docs.google.com/spreadsheets/d/1SX6NBoVAgQJ6U1MVXOaj8PK2l7WJ3RER9xtqwdhxkhw/edit?usp=sharing"",""ชลบุรี!I488"")"),0)</f>
        <v>0</v>
      </c>
      <c r="J593" s="188">
        <f ca="1">IFERROR(__xludf.DUMMYFUNCTION("IMPORTRANGE(""https://docs.google.com/spreadsheets/d/1SX6NBoVAgQJ6U1MVXOaj8PK2l7WJ3RER9xtqwdhxkhw/edit?usp=sharing"",""ชลบุรี!J488"")"),0)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IFERROR(__xludf.DUMMYFUNCTION("IMPORTRANGE(""https://docs.google.com/spreadsheets/d/1SX6NBoVAgQJ6U1MVXOaj8PK2l7WJ3RER9xtqwdhxkhw/edit?usp=sharing"",""ชลบุรี!I489"")"),0)</f>
        <v>0</v>
      </c>
      <c r="J594" s="188">
        <f ca="1">IFERROR(__xludf.DUMMYFUNCTION("IMPORTRANGE(""https://docs.google.com/spreadsheets/d/1SX6NBoVAgQJ6U1MVXOaj8PK2l7WJ3RER9xtqwdhxkhw/edit?usp=sharing"",""ชลบุรี!J489"")"),0)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IFERROR(__xludf.DUMMYFUNCTION("IMPORTRANGE(""https://docs.google.com/spreadsheets/d/1SX6NBoVAgQJ6U1MVXOaj8PK2l7WJ3RER9xtqwdhxkhw/edit?usp=sharing"",""ชลบุรี!I490"")"),0)</f>
        <v>0</v>
      </c>
      <c r="J595" s="188">
        <f ca="1">IFERROR(__xludf.DUMMYFUNCTION("IMPORTRANGE(""https://docs.google.com/spreadsheets/d/1SX6NBoVAgQJ6U1MVXOaj8PK2l7WJ3RER9xtqwdhxkhw/edit?usp=sharing"",""ชลบุรี!J490"")"),4)</f>
        <v>4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IFERROR(__xludf.DUMMYFUNCTION("IMPORTRANGE(""https://docs.google.com/spreadsheets/d/1SX6NBoVAgQJ6U1MVXOaj8PK2l7WJ3RER9xtqwdhxkhw/edit?usp=sharing"",""ชลบุรี!I491"")"),0)</f>
        <v>0</v>
      </c>
      <c r="J596" s="242">
        <f ca="1">IFERROR(__xludf.DUMMYFUNCTION("IMPORTRANGE(""https://docs.google.com/spreadsheets/d/1SX6NBoVAgQJ6U1MVXOaj8PK2l7WJ3RER9xtqwdhxkhw/edit?usp=sharing"",""ชลบุรี!J491"")"),0.43)</f>
        <v>0.43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IFERROR(__xludf.DUMMYFUNCTION("IMPORTRANGE(""https://docs.google.com/spreadsheets/d/1SX6NBoVAgQJ6U1MVXOaj8PK2l7WJ3RER9xtqwdhxkhw/edit?usp=sharing"",""ชลบุรี!I492"")"),50)</f>
        <v>50</v>
      </c>
      <c r="J597" s="488">
        <f ca="1">IFERROR(__xludf.DUMMYFUNCTION("IMPORTRANGE(""https://docs.google.com/spreadsheets/d/1SX6NBoVAgQJ6U1MVXOaj8PK2l7WJ3RER9xtqwdhxkhw/edit?usp=sharing"",""ชลบุรี!J492"")"),0)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IFERROR(__xludf.DUMMYFUNCTION("IMPORTRANGE(""https://docs.google.com/spreadsheets/d/1SX6NBoVAgQJ6U1MVXOaj8PK2l7WJ3RER9xtqwdhxkhw/edit?usp=sharing"",""ชลบุรี!L492"")"),4550)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IFERROR(__xludf.DUMMYFUNCTION("IMPORTRANGE(""https://docs.google.com/spreadsheets/d/1SX6NBoVAgQJ6U1MVXOaj8PK2l7WJ3RER9xtqwdhxkhw/edit?usp=sharing"",""ชลบุรี!M492"")"),300)</f>
        <v>300</v>
      </c>
      <c r="O597" s="412">
        <f t="shared" ref="O597:O601" ca="1" si="126">+IF(L597&gt;0,N597*100/L597,0)</f>
        <v>6.5934065934065931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IFERROR(__xludf.DUMMYFUNCTION("IMPORTRANGE(""https://docs.google.com/spreadsheets/d/1SX6NBoVAgQJ6U1MVXOaj8PK2l7WJ3RER9xtqwdhxkhw/edit?usp=sharing"",""ชลบุรี!L493"")"),0)</f>
        <v>0</v>
      </c>
      <c r="M598" s="164"/>
      <c r="N598" s="169">
        <f ca="1">IFERROR(__xludf.DUMMYFUNCTION("IMPORTRANGE(""https://docs.google.com/spreadsheets/d/1SX6NBoVAgQJ6U1MVXOaj8PK2l7WJ3RER9xtqwdhxkhw/edit?usp=sharing"",""ชลบุรี!M493"")"),0)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IFERROR(__xludf.DUMMYFUNCTION("IMPORTRANGE(""https://docs.google.com/spreadsheets/d/1SX6NBoVAgQJ6U1MVXOaj8PK2l7WJ3RER9xtqwdhxkhw/edit?usp=sharing"",""ชลบุรี!L494"")"),4550)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IFERROR(__xludf.DUMMYFUNCTION("IMPORTRANGE(""https://docs.google.com/spreadsheets/d/1SX6NBoVAgQJ6U1MVXOaj8PK2l7WJ3RER9xtqwdhxkhw/edit?usp=sharing"",""ชลบุรี!M494"")"),300)</f>
        <v>300</v>
      </c>
      <c r="O599" s="169">
        <f t="shared" ca="1" si="126"/>
        <v>6.5934065934065931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IFERROR(__xludf.DUMMYFUNCTION("IMPORTRANGE(""https://docs.google.com/spreadsheets/d/1SX6NBoVAgQJ6U1MVXOaj8PK2l7WJ3RER9xtqwdhxkhw/edit?usp=sharing"",""ชลบุรี!L495"")"),0)</f>
        <v>0</v>
      </c>
      <c r="M600" s="169"/>
      <c r="N600" s="169">
        <f ca="1">IFERROR(__xludf.DUMMYFUNCTION("IMPORTRANGE(""https://docs.google.com/spreadsheets/d/1SX6NBoVAgQJ6U1MVXOaj8PK2l7WJ3RER9xtqwdhxkhw/edit?usp=sharing"",""ชลบุรี!M495"")"),0)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IFERROR(__xludf.DUMMYFUNCTION("IMPORTRANGE(""https://docs.google.com/spreadsheets/d/1SX6NBoVAgQJ6U1MVXOaj8PK2l7WJ3RER9xtqwdhxkhw/edit?usp=sharing"",""ชลบุรี!L496"")"),4550)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IFERROR(__xludf.DUMMYFUNCTION("IMPORTRANGE(""https://docs.google.com/spreadsheets/d/1SX6NBoVAgQJ6U1MVXOaj8PK2l7WJ3RER9xtqwdhxkhw/edit?usp=sharing"",""ชลบุรี!M496"")"),300)</f>
        <v>300</v>
      </c>
      <c r="O601" s="169">
        <f t="shared" ca="1" si="126"/>
        <v>6.5934065934065931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IFERROR(__xludf.DUMMYFUNCTION("IMPORTRANGE(""https://docs.google.com/spreadsheets/d/1SX6NBoVAgQJ6U1MVXOaj8PK2l7WJ3RER9xtqwdhxkhw/edit?usp=sharing"",""ชลบุรี!M497"")"),0)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IFERROR(__xludf.DUMMYFUNCTION("IMPORTRANGE(""https://docs.google.com/spreadsheets/d/1SX6NBoVAgQJ6U1MVXOaj8PK2l7WJ3RER9xtqwdhxkhw/edit?usp=sharing"",""ชลบุรี!M498"")"),0)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IFERROR(__xludf.DUMMYFUNCTION("IMPORTRANGE(""https://docs.google.com/spreadsheets/d/1SX6NBoVAgQJ6U1MVXOaj8PK2l7WJ3RER9xtqwdhxkhw/edit?usp=sharing"",""ชลบุรี!M499"")"),0)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IFERROR(__xludf.DUMMYFUNCTION("IMPORTRANGE(""https://docs.google.com/spreadsheets/d/1SX6NBoVAgQJ6U1MVXOaj8PK2l7WJ3RER9xtqwdhxkhw/edit?usp=sharing"",""ชลบุรี!M500"")"),300)</f>
        <v>300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IFERROR(__xludf.DUMMYFUNCTION("IMPORTRANGE(""https://docs.google.com/spreadsheets/d/1SX6NBoVAgQJ6U1MVXOaj8PK2l7WJ3RER9xtqwdhxkhw/edit?usp=sharing"",""ชลบุรี!J502"")"),0)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IFERROR(__xludf.DUMMYFUNCTION("IMPORTRANGE(""https://docs.google.com/spreadsheets/d/1SX6NBoVAgQJ6U1MVXOaj8PK2l7WJ3RER9xtqwdhxkhw/edit?usp=sharing"",""ชลบุรี!J503"")"),1)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IFERROR(__xludf.DUMMYFUNCTION("IMPORTRANGE(""https://docs.google.com/spreadsheets/d/1SX6NBoVAgQJ6U1MVXOaj8PK2l7WJ3RER9xtqwdhxkhw/edit?usp=sharing"",""ชลบุรี!J166"")"),0)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IFERROR(__xludf.DUMMYFUNCTION("IMPORTRANGE(""https://docs.google.com/spreadsheets/d/1SX6NBoVAgQJ6U1MVXOaj8PK2l7WJ3RER9xtqwdhxkhw/edit?usp=sharing"",""ชลบุรี!J166"")"),0)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IFERROR(__xludf.DUMMYFUNCTION("IMPORTRANGE(""https://docs.google.com/spreadsheets/d/1SX6NBoVAgQJ6U1MVXOaj8PK2l7WJ3RER9xtqwdhxkhw/edit?usp=sharing"",""ชลบุรี!I506"")"),50)</f>
        <v>50</v>
      </c>
      <c r="J611" s="162">
        <f ca="1">IFERROR(__xludf.DUMMYFUNCTION("IMPORTRANGE(""https://docs.google.com/spreadsheets/d/1SX6NBoVAgQJ6U1MVXOaj8PK2l7WJ3RER9xtqwdhxkhw/edit?usp=sharing"",""ชลบุรี!J506"")"),0)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IFERROR(__xludf.DUMMYFUNCTION("IMPORTRANGE(""https://docs.google.com/spreadsheets/d/1SX6NBoVAgQJ6U1MVXOaj8PK2l7WJ3RER9xtqwdhxkhw/edit?usp=sharing"",""ชลบุรี!I507"")"),0)</f>
        <v>0</v>
      </c>
      <c r="J612" s="198">
        <f ca="1">IFERROR(__xludf.DUMMYFUNCTION("IMPORTRANGE(""https://docs.google.com/spreadsheets/d/1SX6NBoVAgQJ6U1MVXOaj8PK2l7WJ3RER9xtqwdhxkhw/edit?usp=sharing"",""ชลบุรี!J507"")"),0)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IFERROR(__xludf.DUMMYFUNCTION("IMPORTRANGE(""https://docs.google.com/spreadsheets/d/1SX6NBoVAgQJ6U1MVXOaj8PK2l7WJ3RER9xtqwdhxkhw/edit?usp=sharing"",""ชลบุรี!I508"")"),0)</f>
        <v>0</v>
      </c>
      <c r="J613" s="198">
        <f ca="1">IFERROR(__xludf.DUMMYFUNCTION("IMPORTRANGE(""https://docs.google.com/spreadsheets/d/1SX6NBoVAgQJ6U1MVXOaj8PK2l7WJ3RER9xtqwdhxkhw/edit?usp=sharing"",""ชลบุรี!J508"")"),0)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IFERROR(__xludf.DUMMYFUNCTION("IMPORTRANGE(""https://docs.google.com/spreadsheets/d/1SX6NBoVAgQJ6U1MVXOaj8PK2l7WJ3RER9xtqwdhxkhw/edit?usp=sharing"",""ชลบุรี!I509"")"),0)</f>
        <v>0</v>
      </c>
      <c r="J614" s="198">
        <f ca="1">IFERROR(__xludf.DUMMYFUNCTION("IMPORTRANGE(""https://docs.google.com/spreadsheets/d/1SX6NBoVAgQJ6U1MVXOaj8PK2l7WJ3RER9xtqwdhxkhw/edit?usp=sharing"",""ชลบุรี!J509"")"),0)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IFERROR(__xludf.DUMMYFUNCTION("IMPORTRANGE(""https://docs.google.com/spreadsheets/d/1SX6NBoVAgQJ6U1MVXOaj8PK2l7WJ3RER9xtqwdhxkhw/edit?usp=sharing"",""ชลบุรี!I510"")"),0)</f>
        <v>0</v>
      </c>
      <c r="J615" s="198">
        <f ca="1">IFERROR(__xludf.DUMMYFUNCTION("IMPORTRANGE(""https://docs.google.com/spreadsheets/d/1SX6NBoVAgQJ6U1MVXOaj8PK2l7WJ3RER9xtqwdhxkhw/edit?usp=sharing"",""ชลบุรี!J510"")"),0)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IFERROR(__xludf.DUMMYFUNCTION("IMPORTRANGE(""https://docs.google.com/spreadsheets/d/1SX6NBoVAgQJ6U1MVXOaj8PK2l7WJ3RER9xtqwdhxkhw/edit?usp=sharing"",""ชลบุรี!I511"")"),0)</f>
        <v>0</v>
      </c>
      <c r="J616" s="198">
        <f ca="1">IFERROR(__xludf.DUMMYFUNCTION("IMPORTRANGE(""https://docs.google.com/spreadsheets/d/1SX6NBoVAgQJ6U1MVXOaj8PK2l7WJ3RER9xtqwdhxkhw/edit?usp=sharing"",""ชลบุรี!J511"")"),0)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IFERROR(__xludf.DUMMYFUNCTION("IMPORTRANGE(""https://docs.google.com/spreadsheets/d/1SX6NBoVAgQJ6U1MVXOaj8PK2l7WJ3RER9xtqwdhxkhw/edit?usp=sharing"",""ชลบุรี!I512"")"),0)</f>
        <v>0</v>
      </c>
      <c r="J617" s="188">
        <f ca="1">IFERROR(__xludf.DUMMYFUNCTION("IMPORTRANGE(""https://docs.google.com/spreadsheets/d/1SX6NBoVAgQJ6U1MVXOaj8PK2l7WJ3RER9xtqwdhxkhw/edit?usp=sharing"",""ชลบุรี!J512"")"),0)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IFERROR(__xludf.DUMMYFUNCTION("IMPORTRANGE(""https://docs.google.com/spreadsheets/d/1SX6NBoVAgQJ6U1MVXOaj8PK2l7WJ3RER9xtqwdhxkhw/edit?usp=sharing"",""ชลบุรี!I513"")"),0)</f>
        <v>0</v>
      </c>
      <c r="J618" s="189">
        <f ca="1">IFERROR(__xludf.DUMMYFUNCTION("IMPORTRANGE(""https://docs.google.com/spreadsheets/d/1SX6NBoVAgQJ6U1MVXOaj8PK2l7WJ3RER9xtqwdhxkhw/edit?usp=sharing"",""ชลบุรี!J513"")"),0)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IFERROR(__xludf.DUMMYFUNCTION("IMPORTRANGE(""https://docs.google.com/spreadsheets/d/1SX6NBoVAgQJ6U1MVXOaj8PK2l7WJ3RER9xtqwdhxkhw/edit?usp=sharing"",""ชลบุรี!I514"")"),0)</f>
        <v>0</v>
      </c>
      <c r="J619" s="189">
        <f ca="1">IFERROR(__xludf.DUMMYFUNCTION("IMPORTRANGE(""https://docs.google.com/spreadsheets/d/1SX6NBoVAgQJ6U1MVXOaj8PK2l7WJ3RER9xtqwdhxkhw/edit?usp=sharing"",""ชลบุรี!J514"")"),0)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IFERROR(__xludf.DUMMYFUNCTION("IMPORTRANGE(""https://docs.google.com/spreadsheets/d/1SX6NBoVAgQJ6U1MVXOaj8PK2l7WJ3RER9xtqwdhxkhw/edit?usp=sharing"",""ชลบุรี!I515"")"),0)</f>
        <v>0</v>
      </c>
      <c r="J620" s="203">
        <f ca="1">IFERROR(__xludf.DUMMYFUNCTION("IMPORTRANGE(""https://docs.google.com/spreadsheets/d/1SX6NBoVAgQJ6U1MVXOaj8PK2l7WJ3RER9xtqwdhxkhw/edit?usp=sharing"",""ชลบุรี!J515"")"),0)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IFERROR(__xludf.DUMMYFUNCTION("IMPORTRANGE(""https://docs.google.com/spreadsheets/d/1SX6NBoVAgQJ6U1MVXOaj8PK2l7WJ3RER9xtqwdhxkhw/edit?usp=sharing"",""ชลบุรี!I516"")"),0)</f>
        <v>0</v>
      </c>
      <c r="J621" s="203">
        <f ca="1">IFERROR(__xludf.DUMMYFUNCTION("IMPORTRANGE(""https://docs.google.com/spreadsheets/d/1SX6NBoVAgQJ6U1MVXOaj8PK2l7WJ3RER9xtqwdhxkhw/edit?usp=sharing"",""ชลบุรี!J516"")"),0)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IFERROR(__xludf.DUMMYFUNCTION("IMPORTRANGE(""https://docs.google.com/spreadsheets/d/1SX6NBoVAgQJ6U1MVXOaj8PK2l7WJ3RER9xtqwdhxkhw/edit?usp=sharing"",""ชลบุรี!I517"")"),0)</f>
        <v>0</v>
      </c>
      <c r="J622" s="189">
        <f ca="1">IFERROR(__xludf.DUMMYFUNCTION("IMPORTRANGE(""https://docs.google.com/spreadsheets/d/1SX6NBoVAgQJ6U1MVXOaj8PK2l7WJ3RER9xtqwdhxkhw/edit?usp=sharing"",""ชลบุรี!J517"")"),0)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IFERROR(__xludf.DUMMYFUNCTION("IMPORTRANGE(""https://docs.google.com/spreadsheets/d/1SX6NBoVAgQJ6U1MVXOaj8PK2l7WJ3RER9xtqwdhxkhw/edit?usp=sharing"",""ชลบุรี!I518"")"),0)</f>
        <v>0</v>
      </c>
      <c r="J623" s="189">
        <f ca="1">IFERROR(__xludf.DUMMYFUNCTION("IMPORTRANGE(""https://docs.google.com/spreadsheets/d/1SX6NBoVAgQJ6U1MVXOaj8PK2l7WJ3RER9xtqwdhxkhw/edit?usp=sharing"",""ชลบุรี!J518"")"),0)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IFERROR(__xludf.DUMMYFUNCTION("IMPORTRANGE(""https://docs.google.com/spreadsheets/d/1SX6NBoVAgQJ6U1MVXOaj8PK2l7WJ3RER9xtqwdhxkhw/edit?usp=sharing"",""ชลบุรี!I519"")"),0)</f>
        <v>0</v>
      </c>
      <c r="J624" s="188">
        <f ca="1">IFERROR(__xludf.DUMMYFUNCTION("IMPORTRANGE(""https://docs.google.com/spreadsheets/d/1SX6NBoVAgQJ6U1MVXOaj8PK2l7WJ3RER9xtqwdhxkhw/edit?usp=sharing"",""ชลบุรี!J519"")"),0)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IFERROR(__xludf.DUMMYFUNCTION("IMPORTRANGE(""https://docs.google.com/spreadsheets/d/1SX6NBoVAgQJ6U1MVXOaj8PK2l7WJ3RER9xtqwdhxkhw/edit?usp=sharing"",""ชลบุรี!I520"")"),0)</f>
        <v>0</v>
      </c>
      <c r="J625" s="189">
        <f ca="1">IFERROR(__xludf.DUMMYFUNCTION("IMPORTRANGE(""https://docs.google.com/spreadsheets/d/1SX6NBoVAgQJ6U1MVXOaj8PK2l7WJ3RER9xtqwdhxkhw/edit?usp=sharing"",""ชลบุรี!J520"")"),0)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IFERROR(__xludf.DUMMYFUNCTION("IMPORTRANGE(""https://docs.google.com/spreadsheets/d/1SX6NBoVAgQJ6U1MVXOaj8PK2l7WJ3RER9xtqwdhxkhw/edit?usp=sharing"",""ชลบุรี!I521"")"),0)</f>
        <v>0</v>
      </c>
      <c r="J626" s="189">
        <f ca="1">IFERROR(__xludf.DUMMYFUNCTION("IMPORTRANGE(""https://docs.google.com/spreadsheets/d/1SX6NBoVAgQJ6U1MVXOaj8PK2l7WJ3RER9xtqwdhxkhw/edit?usp=sharing"",""ชลบุรี!J521"")"),0)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2">
        <f ca="1">IFERROR(__xludf.DUMMYFUNCTION("IMPORTRANGE(""https://docs.google.com/spreadsheets/d/1SX6NBoVAgQJ6U1MVXOaj8PK2l7WJ3RER9xtqwdhxkhw/edit?usp=sharing"",""ชลบุรี!J523"")"),9649669.64)</f>
        <v>9649669.6400000006</v>
      </c>
      <c r="K628" s="343">
        <f t="shared" ref="K628:K635" ca="1" si="129">IF(I628&gt;0,J628*100/I628,0)</f>
        <v>96.926374507541411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IFERROR(__xludf.DUMMYFUNCTION("IMPORTRANGE(""https://docs.google.com/spreadsheets/d/1SX6NBoVAgQJ6U1MVXOaj8PK2l7WJ3RER9xtqwdhxkhw/edit?usp=sharing"",""ชลบุรี!I524"")"),249)</f>
        <v>249</v>
      </c>
      <c r="J629" s="342">
        <f ca="1">IFERROR(__xludf.DUMMYFUNCTION("IMPORTRANGE(""https://docs.google.com/spreadsheets/d/1SX6NBoVAgQJ6U1MVXOaj8PK2l7WJ3RER9xtqwdhxkhw/edit?usp=sharing"",""ชลบุรี!J524"")"),204)</f>
        <v>204</v>
      </c>
      <c r="K629" s="343">
        <f t="shared" ca="1" si="129"/>
        <v>81.92771084337349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IFERROR(__xludf.DUMMYFUNCTION("IMPORTRANGE(""https://docs.google.com/spreadsheets/d/1SX6NBoVAgQJ6U1MVXOaj8PK2l7WJ3RER9xtqwdhxkhw/edit?usp=sharing"",""ชลบุรี!I525"")"),186084.82)</f>
        <v>186084.82</v>
      </c>
      <c r="J630" s="342">
        <f ca="1">IFERROR(__xludf.DUMMYFUNCTION("IMPORTRANGE(""https://docs.google.com/spreadsheets/d/1SX6NBoVAgQJ6U1MVXOaj8PK2l7WJ3RER9xtqwdhxkhw/edit?usp=sharing"",""ชลบุรี!J525"")"),176208.09)</f>
        <v>176208.09</v>
      </c>
      <c r="K630" s="343">
        <f t="shared" ca="1" si="129"/>
        <v>94.692350509837397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IFERROR(__xludf.DUMMYFUNCTION("IMPORTRANGE(""https://docs.google.com/spreadsheets/d/1SX6NBoVAgQJ6U1MVXOaj8PK2l7WJ3RER9xtqwdhxkhw/edit?usp=sharing"",""ชลบุรี!I526"")"),7)</f>
        <v>7</v>
      </c>
      <c r="J631" s="342">
        <f ca="1">IFERROR(__xludf.DUMMYFUNCTION("IMPORTRANGE(""https://docs.google.com/spreadsheets/d/1SX6NBoVAgQJ6U1MVXOaj8PK2l7WJ3RER9xtqwdhxkhw/edit?usp=sharing"",""ชลบุรี!J526"")"),7)</f>
        <v>7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IFERROR(__xludf.DUMMYFUNCTION("IMPORTRANGE(""https://docs.google.com/spreadsheets/d/1SX6NBoVAgQJ6U1MVXOaj8PK2l7WJ3RER9xtqwdhxkhw/edit?usp=sharing"",""ชลบุรี!I527"")"),0)</f>
        <v>0</v>
      </c>
      <c r="J632" s="342">
        <f ca="1">IFERROR(__xludf.DUMMYFUNCTION("IMPORTRANGE(""https://docs.google.com/spreadsheets/d/1SX6NBoVAgQJ6U1MVXOaj8PK2l7WJ3RER9xtqwdhxkhw/edit?usp=sharing"",""ชลบุรี!J527"")"),0)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IFERROR(__xludf.DUMMYFUNCTION("IMPORTRANGE(""https://docs.google.com/spreadsheets/d/1SX6NBoVAgQJ6U1MVXOaj8PK2l7WJ3RER9xtqwdhxkhw/edit?usp=sharing"",""ชลบุรี!I528"")"),0)</f>
        <v>0</v>
      </c>
      <c r="J633" s="342">
        <f ca="1">IFERROR(__xludf.DUMMYFUNCTION("IMPORTRANGE(""https://docs.google.com/spreadsheets/d/1SX6NBoVAgQJ6U1MVXOaj8PK2l7WJ3RER9xtqwdhxkhw/edit?usp=sharing"",""ชลบุรี!J528"")"),0)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IFERROR(__xludf.DUMMYFUNCTION("IMPORTRANGE(""https://docs.google.com/spreadsheets/d/1SX6NBoVAgQJ6U1MVXOaj8PK2l7WJ3RER9xtqwdhxkhw/edit?usp=sharing"",""ชลบุรี!I529"")"),11620000)</f>
        <v>11620000</v>
      </c>
      <c r="J634" s="342">
        <f ca="1">IFERROR(__xludf.DUMMYFUNCTION("IMPORTRANGE(""https://docs.google.com/spreadsheets/d/1SX6NBoVAgQJ6U1MVXOaj8PK2l7WJ3RER9xtqwdhxkhw/edit?usp=sharing"",""ชลบุรี!J529"")"),7040000)</f>
        <v>7040000</v>
      </c>
      <c r="K634" s="343">
        <f t="shared" ca="1" si="129"/>
        <v>60.585197934595527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IFERROR(__xludf.DUMMYFUNCTION("IMPORTRANGE(""https://docs.google.com/spreadsheets/d/1SX6NBoVAgQJ6U1MVXOaj8PK2l7WJ3RER9xtqwdhxkhw/edit?usp=sharing"",""ชลบุรี!I530"")"),243)</f>
        <v>243</v>
      </c>
      <c r="J635" s="505">
        <f ca="1">IFERROR(__xludf.DUMMYFUNCTION("IMPORTRANGE(""https://docs.google.com/spreadsheets/d/1SX6NBoVAgQJ6U1MVXOaj8PK2l7WJ3RER9xtqwdhxkhw/edit?usp=sharing"",""ชลบุรี!J530"")"),143)</f>
        <v>143</v>
      </c>
      <c r="K635" s="487">
        <f t="shared" ca="1" si="129"/>
        <v>58.847736625514401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IFERROR(__xludf.DUMMYFUNCTION("IMPORTRANGE(""https://docs.google.com/spreadsheets/d/1SX6NBoVAgQJ6U1MVXOaj8PK2l7WJ3RER9xtqwdhxkhw/edit#gid=346597447"",""ชลบุรี!J541"")"),0)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IFERROR(__xludf.DUMMYFUNCTION("IMPORTRANGE(""https://docs.google.com/spreadsheets/d/1SX6NBoVAgQJ6U1MVXOaj8PK2l7WJ3RER9xtqwdhxkhw/edit#gid=346597447"",""ชลบุรี!J542"")"),0)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IFERROR(__xludf.DUMMYFUNCTION("IMPORTRANGE(""https://docs.google.com/spreadsheets/d/1SX6NBoVAgQJ6U1MVXOaj8PK2l7WJ3RER9xtqwdhxkhw/edit#gid=346597447"",""ชลบุรี!I543"")"),0)</f>
        <v>0</v>
      </c>
      <c r="J648" s="537">
        <f ca="1">IFERROR(__xludf.DUMMYFUNCTION("IMPORTRANGE(""https://docs.google.com/spreadsheets/d/1SX6NBoVAgQJ6U1MVXOaj8PK2l7WJ3RER9xtqwdhxkhw/edit#gid=346597447"",""ชลบุรี!J543"")"),0)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IFERROR(__xludf.DUMMYFUNCTION("IMPORTRANGE(""https://docs.google.com/spreadsheets/d/1SX6NBoVAgQJ6U1MVXOaj8PK2l7WJ3RER9xtqwdhxkhw/edit#gid=346597447"",""ชลบุรี!L543"")"),0)</f>
        <v>0</v>
      </c>
      <c r="M648" s="522"/>
      <c r="N648" s="539">
        <f ca="1">IFERROR(__xludf.DUMMYFUNCTION("IMPORTRANGE(""https://docs.google.com/spreadsheets/d/1SX6NBoVAgQJ6U1MVXOaj8PK2l7WJ3RER9xtqwdhxkhw/edit#gid=346597447"",""ชลบุรี!M543"")"),0)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IFERROR(__xludf.DUMMYFUNCTION("IMPORTRANGE(""https://docs.google.com/spreadsheets/d/1SX6NBoVAgQJ6U1MVXOaj8PK2l7WJ3RER9xtqwdhxkhw/edit#gid=346597447"",""ชลบุรี!I544"")"),0)</f>
        <v>0</v>
      </c>
      <c r="J649" s="537">
        <f ca="1">IFERROR(__xludf.DUMMYFUNCTION("IMPORTRANGE(""https://docs.google.com/spreadsheets/d/1SX6NBoVAgQJ6U1MVXOaj8PK2l7WJ3RER9xtqwdhxkhw/edit#gid=346597447"",""ชลบุรี!J544"")"),0)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IFERROR(__xludf.DUMMYFUNCTION("IMPORTRANGE(""https://docs.google.com/spreadsheets/d/1SX6NBoVAgQJ6U1MVXOaj8PK2l7WJ3RER9xtqwdhxkhw/edit#gid=346597447"",""ชลบุรี!L544"")"),0)</f>
        <v>0</v>
      </c>
      <c r="M649" s="522"/>
      <c r="N649" s="539">
        <f ca="1">IFERROR(__xludf.DUMMYFUNCTION("IMPORTRANGE(""https://docs.google.com/spreadsheets/d/1SX6NBoVAgQJ6U1MVXOaj8PK2l7WJ3RER9xtqwdhxkhw/edit#gid=346597447"",""ชลบุรี!M544"")"),0)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IFERROR(__xludf.DUMMYFUNCTION("IMPORTRANGE(""https://docs.google.com/spreadsheets/d/1SX6NBoVAgQJ6U1MVXOaj8PK2l7WJ3RER9xtqwdhxkhw/edit#gid=346597447"",""ชลบุรี!I545"")"),0)</f>
        <v>0</v>
      </c>
      <c r="J650" s="537">
        <f ca="1">IFERROR(__xludf.DUMMYFUNCTION("IMPORTRANGE(""https://docs.google.com/spreadsheets/d/1SX6NBoVAgQJ6U1MVXOaj8PK2l7WJ3RER9xtqwdhxkhw/edit#gid=346597447"",""ชลบุรี!J545"")"),0)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IFERROR(__xludf.DUMMYFUNCTION("IMPORTRANGE(""https://docs.google.com/spreadsheets/d/1SX6NBoVAgQJ6U1MVXOaj8PK2l7WJ3RER9xtqwdhxkhw/edit#gid=346597447"",""ชลบุรี!L545"")"),0)</f>
        <v>0</v>
      </c>
      <c r="M650" s="522"/>
      <c r="N650" s="539">
        <f ca="1">IFERROR(__xludf.DUMMYFUNCTION("IMPORTRANGE(""https://docs.google.com/spreadsheets/d/1SX6NBoVAgQJ6U1MVXOaj8PK2l7WJ3RER9xtqwdhxkhw/edit#gid=346597447"",""ชลบุรี!M545"")"),0)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IFERROR(__xludf.DUMMYFUNCTION("IMPORTRANGE(""https://docs.google.com/spreadsheets/d/1SX6NBoVAgQJ6U1MVXOaj8PK2l7WJ3RER9xtqwdhxkhw/edit#gid=346597447"",""ชลบุรี!I546"")"),0)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IFERROR(__xludf.DUMMYFUNCTION("IMPORTRANGE(""https://docs.google.com/spreadsheets/d/1SX6NBoVAgQJ6U1MVXOaj8PK2l7WJ3RER9xtqwdhxkhw/edit#gid=346597447"",""ชลบุรี!L546"")"),0)</f>
        <v>0</v>
      </c>
      <c r="M651" s="522"/>
      <c r="N651" s="539">
        <f ca="1">IFERROR(__xludf.DUMMYFUNCTION("IMPORTRANGE(""https://docs.google.com/spreadsheets/d/1SX6NBoVAgQJ6U1MVXOaj8PK2l7WJ3RER9xtqwdhxkhw/edit#gid=346597447"",""ชลบุรี!M546"")"),0)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IFERROR(__xludf.DUMMYFUNCTION("IMPORTRANGE(""https://docs.google.com/spreadsheets/d/1SX6NBoVAgQJ6U1MVXOaj8PK2l7WJ3RER9xtqwdhxkhw/edit#gid=346597447"",""ชลบุรี!J547"")"),0)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IFERROR(__xludf.DUMMYFUNCTION("IMPORTRANGE(""https://docs.google.com/spreadsheets/d/1SX6NBoVAgQJ6U1MVXOaj8PK2l7WJ3RER9xtqwdhxkhw/edit#gid=346597447"",""ชลบุรี!J548"")"),0)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IFERROR(__xludf.DUMMYFUNCTION("IMPORTRANGE(""https://docs.google.com/spreadsheets/d/1SX6NBoVAgQJ6U1MVXOaj8PK2l7WJ3RER9xtqwdhxkhw/edit#gid=346597447"",""ชลบุรี!J550"")"),0)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IFERROR(__xludf.DUMMYFUNCTION("IMPORTRANGE(""https://docs.google.com/spreadsheets/d/1SX6NBoVAgQJ6U1MVXOaj8PK2l7WJ3RER9xtqwdhxkhw/edit#gid=346597447"",""ชลบุรี!J551"")"),0)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IFERROR(__xludf.DUMMYFUNCTION("IMPORTRANGE(""https://docs.google.com/spreadsheets/d/1SX6NBoVAgQJ6U1MVXOaj8PK2l7WJ3RER9xtqwdhxkhw/edit#gid=346597447"",""ชลบุรี!J552"")"),0)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IFERROR(__xludf.DUMMYFUNCTION("IMPORTRANGE(""https://docs.google.com/spreadsheets/d/1SX6NBoVAgQJ6U1MVXOaj8PK2l7WJ3RER9xtqwdhxkhw/edit#gid=346597447"",""ชลบุรี!J553"")"),0)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IFERROR(__xludf.DUMMYFUNCTION("IMPORTRANGE(""https://docs.google.com/spreadsheets/d/1SX6NBoVAgQJ6U1MVXOaj8PK2l7WJ3RER9xtqwdhxkhw/edit#gid=346597447"",""ชลบุรี!J554"")"),0)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IFERROR(__xludf.DUMMYFUNCTION("IMPORTRANGE(""https://docs.google.com/spreadsheets/d/1SX6NBoVAgQJ6U1MVXOaj8PK2l7WJ3RER9xtqwdhxkhw/edit#gid=346597447"",""ชลบุรี!J555"")"),0)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IFERROR(__xludf.DUMMYFUNCTION("IMPORTRANGE(""https://docs.google.com/spreadsheets/d/1SX6NBoVAgQJ6U1MVXOaj8PK2l7WJ3RER9xtqwdhxkhw/edit#gid=346597447"",""ชลบุรี!J556"")"),0)</f>
        <v>0</v>
      </c>
      <c r="K661" s="538"/>
      <c r="L661" s="523">
        <f ca="1">IFERROR(__xludf.DUMMYFUNCTION("IMPORTRANGE(""https://docs.google.com/spreadsheets/d/1SX6NBoVAgQJ6U1MVXOaj8PK2l7WJ3RER9xtqwdhxkhw/edit#gid=346597447"",""ชลบุรี!L556"")"),0)</f>
        <v>0</v>
      </c>
      <c r="M661" s="522"/>
      <c r="N661" s="539">
        <f ca="1">IFERROR(__xludf.DUMMYFUNCTION("IMPORTRANGE(""https://docs.google.com/spreadsheets/d/1SX6NBoVAgQJ6U1MVXOaj8PK2l7WJ3RER9xtqwdhxkhw/edit#gid=346597447"",""ชลบุรี!M556"")"),0)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IFERROR(__xludf.DUMMYFUNCTION("IMPORTRANGE(""https://docs.google.com/spreadsheets/d/1SX6NBoVAgQJ6U1MVXOaj8PK2l7WJ3RER9xtqwdhxkhw/edit#gid=346597447"",""ชลบุรี!J557"")"),0)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IFERROR(__xludf.DUMMYFUNCTION("IMPORTRANGE(""https://docs.google.com/spreadsheets/d/1SX6NBoVAgQJ6U1MVXOaj8PK2l7WJ3RER9xtqwdhxkhw/edit#gid=346597447"",""ชลบุรี!I558"")"),0)</f>
        <v>0</v>
      </c>
      <c r="J663" s="537">
        <f ca="1">IFERROR(__xludf.DUMMYFUNCTION("IMPORTRANGE(""https://docs.google.com/spreadsheets/d/1SX6NBoVAgQJ6U1MVXOaj8PK2l7WJ3RER9xtqwdhxkhw/edit#gid=346597447"",""ชลบุรี!J558"")"),0)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IFERROR(__xludf.DUMMYFUNCTION("IMPORTRANGE(""https://docs.google.com/spreadsheets/d/1SX6NBoVAgQJ6U1MVXOaj8PK2l7WJ3RER9xtqwdhxkhw/edit#gid=346597447"",""ชลบุรี!I560"")"),0)</f>
        <v>0</v>
      </c>
      <c r="J665" s="537">
        <f ca="1">IFERROR(__xludf.DUMMYFUNCTION("IMPORTRANGE(""https://docs.google.com/spreadsheets/d/1SX6NBoVAgQJ6U1MVXOaj8PK2l7WJ3RER9xtqwdhxkhw/edit#gid=346597447"",""ชลบุรี!J560"")"),0)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IFERROR(__xludf.DUMMYFUNCTION("IMPORTRANGE(""https://docs.google.com/spreadsheets/d/1SX6NBoVAgQJ6U1MVXOaj8PK2l7WJ3RER9xtqwdhxkhw/edit#gid=346597447"",""ชลบุรี!L560"")"),0)</f>
        <v>0</v>
      </c>
      <c r="M665" s="522"/>
      <c r="N665" s="539">
        <f ca="1">IFERROR(__xludf.DUMMYFUNCTION("IMPORTRANGE(""https://docs.google.com/spreadsheets/d/1SX6NBoVAgQJ6U1MVXOaj8PK2l7WJ3RER9xtqwdhxkhw/edit#gid=346597447"",""ชลบุรี!M560"")"),0)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IFERROR(__xludf.DUMMYFUNCTION("IMPORTRANGE(""https://docs.google.com/spreadsheets/d/1SX6NBoVAgQJ6U1MVXOaj8PK2l7WJ3RER9xtqwdhxkhw/edit#gid=346597447"",""ชลบุรี!J561"")"),0)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IFERROR(__xludf.DUMMYFUNCTION("IMPORTRANGE(""https://docs.google.com/spreadsheets/d/1SX6NBoVAgQJ6U1MVXOaj8PK2l7WJ3RER9xtqwdhxkhw/edit#gid=346597447"",""ชลบุรี!J562"")"),0)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IFERROR(__xludf.DUMMYFUNCTION("IMPORTRANGE(""https://docs.google.com/spreadsheets/d/1SX6NBoVAgQJ6U1MVXOaj8PK2l7WJ3RER9xtqwdhxkhw/edit#gid=346597447"",""ชลบุรี!I563"")"),0)</f>
        <v>0</v>
      </c>
      <c r="J668" s="537">
        <f ca="1">IFERROR(__xludf.DUMMYFUNCTION("IMPORTRANGE(""https://docs.google.com/spreadsheets/d/1SX6NBoVAgQJ6U1MVXOaj8PK2l7WJ3RER9xtqwdhxkhw/edit#gid=346597447"",""ชลบุรี!J563"")"),0)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IFERROR(__xludf.DUMMYFUNCTION("IMPORTRANGE(""https://docs.google.com/spreadsheets/d/1SX6NBoVAgQJ6U1MVXOaj8PK2l7WJ3RER9xtqwdhxkhw/edit#gid=346597447"",""ชลบุรี!L563"")"),0)</f>
        <v>0</v>
      </c>
      <c r="M668" s="522"/>
      <c r="N668" s="539">
        <f ca="1">IFERROR(__xludf.DUMMYFUNCTION("IMPORTRANGE(""https://docs.google.com/spreadsheets/d/1SX6NBoVAgQJ6U1MVXOaj8PK2l7WJ3RER9xtqwdhxkhw/edit#gid=346597447"",""ชลบุรี!M563"")"),0)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IFERROR(__xludf.DUMMYFUNCTION("IMPORTRANGE(""https://docs.google.com/spreadsheets/d/1SX6NBoVAgQJ6U1MVXOaj8PK2l7WJ3RER9xtqwdhxkhw/edit#gid=346597447"",""ชลบุรี!J564"")"),0)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IFERROR(__xludf.DUMMYFUNCTION("IMPORTRANGE(""https://docs.google.com/spreadsheets/d/1SX6NBoVAgQJ6U1MVXOaj8PK2l7WJ3RER9xtqwdhxkhw/edit#gid=346597447"",""ชลบุรี!J565"")"),0)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IFERROR(__xludf.DUMMYFUNCTION("IMPORTRANGE(""https://docs.google.com/spreadsheets/d/1SX6NBoVAgQJ6U1MVXOaj8PK2l7WJ3RER9xtqwdhxkhw/edit#gid=346597447"",""ชลบุรี!I566"")"),0)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IFERROR(__xludf.DUMMYFUNCTION("IMPORTRANGE(""https://docs.google.com/spreadsheets/d/1SX6NBoVAgQJ6U1MVXOaj8PK2l7WJ3RER9xtqwdhxkhw/edit#gid=346597447"",""ชลบุรี!L566"")"),0)</f>
        <v>0</v>
      </c>
      <c r="M671" s="522"/>
      <c r="N671" s="539">
        <f ca="1">IFERROR(__xludf.DUMMYFUNCTION("IMPORTRANGE(""https://docs.google.com/spreadsheets/d/1SX6NBoVAgQJ6U1MVXOaj8PK2l7WJ3RER9xtqwdhxkhw/edit#gid=346597447"",""ชลบุรี!M566"")"),0)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IFERROR(__xludf.DUMMYFUNCTION("IMPORTRANGE(""https://docs.google.com/spreadsheets/d/1SX6NBoVAgQJ6U1MVXOaj8PK2l7WJ3RER9xtqwdhxkhw/edit#gid=346597447"",""ชลบุรี!J567"")"),0)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IFERROR(__xludf.DUMMYFUNCTION("IMPORTRANGE(""https://docs.google.com/spreadsheets/d/1SX6NBoVAgQJ6U1MVXOaj8PK2l7WJ3RER9xtqwdhxkhw/edit#gid=346597447"",""ชลบุรี!J568"")"),0)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IFERROR(__xludf.DUMMYFUNCTION("IMPORTRANGE(""https://docs.google.com/spreadsheets/d/1SX6NBoVAgQJ6U1MVXOaj8PK2l7WJ3RER9xtqwdhxkhw/edit#gid=346597447"",""ชลบุรี!J569"")"),0)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IFERROR(__xludf.DUMMYFUNCTION("IMPORTRANGE(""https://docs.google.com/spreadsheets/d/1SX6NBoVAgQJ6U1MVXOaj8PK2l7WJ3RER9xtqwdhxkhw/edit#gid=346597447"",""ชลบุรี!J570"")"),0)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IFERROR(__xludf.DUMMYFUNCTION("IMPORTRANGE(""https://docs.google.com/spreadsheets/d/1SX6NBoVAgQJ6U1MVXOaj8PK2l7WJ3RER9xtqwdhxkhw/edit#gid=346597447"",""ชลบุรี!J571"")"),0)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IFERROR(__xludf.DUMMYFUNCTION("IMPORTRANGE(""https://docs.google.com/spreadsheets/d/1SX6NBoVAgQJ6U1MVXOaj8PK2l7WJ3RER9xtqwdhxkhw/edit#gid=346597447"",""ชลบุรี!J572"")"),0)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268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3439069</v>
      </c>
      <c r="M8" s="23">
        <f t="shared" ca="1" si="0"/>
        <v>2621562</v>
      </c>
      <c r="N8" s="23">
        <f t="shared" ca="1" si="0"/>
        <v>2924544.8200000003</v>
      </c>
      <c r="O8" s="22">
        <f t="shared" ref="O8:O16" ca="1" si="1">IF(L8&gt;0,N8*100/L8,0)</f>
        <v>85.038852666230312</v>
      </c>
      <c r="P8" s="22">
        <f t="shared" ref="P8:P16" ca="1" si="2">IF(M8&gt;0,N8*100/M8,0)</f>
        <v>111.55733947928753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3439069</v>
      </c>
      <c r="M10" s="30">
        <f t="shared" ca="1" si="4"/>
        <v>2621562</v>
      </c>
      <c r="N10" s="30">
        <f t="shared" ca="1" si="4"/>
        <v>2924544.8200000003</v>
      </c>
      <c r="O10" s="29">
        <f t="shared" ca="1" si="1"/>
        <v>85.038852666230312</v>
      </c>
      <c r="P10" s="29">
        <f t="shared" ca="1" si="2"/>
        <v>111.55733947928753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3292069</v>
      </c>
      <c r="M12" s="38">
        <f t="shared" ca="1" si="6"/>
        <v>2474562</v>
      </c>
      <c r="N12" s="38">
        <f t="shared" ca="1" si="6"/>
        <v>2785544.8200000003</v>
      </c>
      <c r="O12" s="38">
        <f t="shared" ca="1" si="1"/>
        <v>84.613804267164511</v>
      </c>
      <c r="P12" s="38">
        <f t="shared" ca="1" si="2"/>
        <v>112.56718643541767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1582800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1709269</v>
      </c>
      <c r="M14" s="38">
        <f t="shared" si="8"/>
        <v>0</v>
      </c>
      <c r="N14" s="38">
        <f t="shared" ca="1" si="8"/>
        <v>723170</v>
      </c>
      <c r="O14" s="38">
        <f t="shared" ca="1" si="1"/>
        <v>42.308729638225465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139000</v>
      </c>
      <c r="O16" s="49">
        <f t="shared" ca="1" si="1"/>
        <v>94.557823129251702</v>
      </c>
      <c r="P16" s="49">
        <f t="shared" ca="1" si="2"/>
        <v>94.557823129251702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2605395</v>
      </c>
      <c r="M18" s="23">
        <f t="shared" ca="1" si="11"/>
        <v>2621562</v>
      </c>
      <c r="N18" s="23">
        <f t="shared" ca="1" si="11"/>
        <v>2201374.8200000003</v>
      </c>
      <c r="O18" s="22">
        <f t="shared" ref="O18:O20" ca="1" si="12">IF(L18&gt;0,N18*100/L18,0)</f>
        <v>84.492939458316314</v>
      </c>
      <c r="P18" s="22">
        <f t="shared" ref="P18:P26" ca="1" si="13">IF(M18&gt;0,N18*100/M18,0)</f>
        <v>83.971877071761043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2605395</v>
      </c>
      <c r="M20" s="30">
        <f t="shared" ca="1" si="15"/>
        <v>2621562</v>
      </c>
      <c r="N20" s="30">
        <f t="shared" ca="1" si="15"/>
        <v>2201374.8200000003</v>
      </c>
      <c r="O20" s="29">
        <f t="shared" ca="1" si="12"/>
        <v>84.492939458316314</v>
      </c>
      <c r="P20" s="29">
        <f t="shared" ca="1" si="13"/>
        <v>83.971877071761043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2458395</v>
      </c>
      <c r="M22" s="41">
        <f t="shared" ca="1" si="18"/>
        <v>2474562</v>
      </c>
      <c r="N22" s="38">
        <f t="shared" ca="1" si="18"/>
        <v>2062374.82</v>
      </c>
      <c r="O22" s="38">
        <f t="shared" ca="1" si="17"/>
        <v>83.891108629817424</v>
      </c>
      <c r="P22" s="38">
        <f t="shared" ca="1" si="13"/>
        <v>83.343024745389286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1582800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875595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139000</v>
      </c>
      <c r="O26" s="49">
        <f t="shared" ca="1" si="17"/>
        <v>94.557823129251702</v>
      </c>
      <c r="P26" s="49">
        <f t="shared" ca="1" si="13"/>
        <v>94.557823129251702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833674</v>
      </c>
      <c r="M28" s="23">
        <f t="shared" si="23"/>
        <v>0</v>
      </c>
      <c r="N28" s="23">
        <f t="shared" ca="1" si="23"/>
        <v>723170</v>
      </c>
      <c r="O28" s="22">
        <f t="shared" ref="O28:O30" ca="1" si="24">IF(L28&gt;0,N28*100/L28,0)</f>
        <v>86.744938669072084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833674</v>
      </c>
      <c r="M30" s="30">
        <f t="shared" si="27"/>
        <v>0</v>
      </c>
      <c r="N30" s="30">
        <f t="shared" ca="1" si="27"/>
        <v>723170</v>
      </c>
      <c r="O30" s="29">
        <f t="shared" ca="1" si="24"/>
        <v>86.744938669072084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833674</v>
      </c>
      <c r="M32" s="38">
        <f t="shared" si="30"/>
        <v>0</v>
      </c>
      <c r="N32" s="38">
        <f t="shared" ca="1" si="30"/>
        <v>723170</v>
      </c>
      <c r="O32" s="38">
        <f t="shared" ca="1" si="29"/>
        <v>86.744938669072084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833674</v>
      </c>
      <c r="M34" s="38">
        <f t="shared" si="32"/>
        <v>0</v>
      </c>
      <c r="N34" s="38">
        <f t="shared" ca="1" si="32"/>
        <v>723170</v>
      </c>
      <c r="O34" s="38">
        <f t="shared" ca="1" si="29"/>
        <v>86.744938669072084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2605395</v>
      </c>
      <c r="M37" s="54">
        <f t="shared" ca="1" si="33"/>
        <v>2621562</v>
      </c>
      <c r="N37" s="54">
        <f t="shared" ca="1" si="33"/>
        <v>2201374.8200000003</v>
      </c>
      <c r="O37" s="55">
        <f t="shared" ca="1" si="29"/>
        <v>84.492939458316314</v>
      </c>
      <c r="P37" s="55">
        <f t="shared" ca="1" si="25"/>
        <v>83.971877071761043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620000</v>
      </c>
      <c r="N41" s="78">
        <f t="shared" ca="1" si="34"/>
        <v>578633.56000000006</v>
      </c>
      <c r="O41" s="77">
        <f t="shared" ref="O41:O43" ca="1" si="35">IF(L41&gt;0,N41*100/L41,0)</f>
        <v>93.327993548387113</v>
      </c>
      <c r="P41" s="77">
        <f t="shared" ref="P41:P43" ca="1" si="36">IF(M41&gt;0,N41*100/M41,0)</f>
        <v>93.327993548387113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620000</v>
      </c>
      <c r="N43" s="78">
        <f t="shared" ca="1" si="38"/>
        <v>578633.56000000006</v>
      </c>
      <c r="O43" s="77">
        <f t="shared" ca="1" si="35"/>
        <v>93.327993548387113</v>
      </c>
      <c r="P43" s="77">
        <f t="shared" ca="1" si="36"/>
        <v>93.327993548387113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620000</v>
      </c>
      <c r="M45" s="49">
        <f ca="1">IFERROR(__xludf.DUMMYFUNCTION("IMPORTRANGE(""https://docs.google.com/spreadsheets/d/1Yj_ptqi66GCucihVvJfMjLAmec39IyEx_6qawtMGysU/edit?usp=sharing"",""สบก!Q63"")"),620000)</f>
        <v>620000</v>
      </c>
      <c r="N45" s="49">
        <f ca="1">IFERROR(__xludf.DUMMYFUNCTION("IMPORTRANGE(""https://docs.google.com/spreadsheets/d/1Yj_ptqi66GCucihVvJfMjLAmec39IyEx_6qawtMGysU/edit?usp=sharing"",""สบก!R63"")"),578633.56)</f>
        <v>578633.56000000006</v>
      </c>
      <c r="O45" s="38">
        <f ca="1">IF(L45&gt;0,N45*100/L45,0)</f>
        <v>93.327993548387113</v>
      </c>
      <c r="P45" s="38">
        <f ca="1">IF(M45&gt;0,N45*100/M45,0)</f>
        <v>93.327993548387113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IFERROR(__xludf.DUMMYFUNCTION("IMPORTRANGE(""https://docs.google.com/spreadsheets/d/1Yj_ptqi66GCucihVvJfMjLAmec39IyEx_6qawtMGysU/edit?usp=sharing"",""สบก!M63"")"),620000)</f>
        <v>620000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IFERROR(__xludf.DUMMYFUNCTION("IMPORTRANGE(""https://docs.google.com/spreadsheets/d/1Yj_ptqi66GCucihVvJfMjLAmec39IyEx_6qawtMGysU/edit?usp=sharing"",""สบก!N63"")"),0)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IFERROR(__xludf.DUMMYFUNCTION("IMPORTRANGE(""https://docs.google.com/spreadsheets/d/1Yj_ptqi66GCucihVvJfMjLAmec39IyEx_6qawtMGysU/edit?usp=sharing"",""สบก!O63"")"),0)</f>
        <v>0</v>
      </c>
      <c r="M49" s="49"/>
      <c r="N49" s="49">
        <f ca="1">IFERROR(__xludf.DUMMYFUNCTION("IMPORTRANGE(""https://docs.google.com/spreadsheets/d/1Yj_ptqi66GCucihVvJfMjLAmec39IyEx_6qawtMGysU/edit?usp=sharing"",""สบก!S63"")"),0)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355200</v>
      </c>
      <c r="M53" s="121">
        <f t="shared" ca="1" si="39"/>
        <v>320347</v>
      </c>
      <c r="N53" s="121">
        <f t="shared" ca="1" si="39"/>
        <v>248119</v>
      </c>
      <c r="O53" s="120">
        <f t="shared" ref="O53:O55" ca="1" si="40">IF(L53&gt;0,N53*100/L53,0)</f>
        <v>69.853322072072075</v>
      </c>
      <c r="P53" s="120">
        <f t="shared" ref="P53:P55" ca="1" si="41">IF(M53&gt;0,N53*100/M53,0)</f>
        <v>77.45319918713146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355200</v>
      </c>
      <c r="M55" s="121">
        <f t="shared" ca="1" si="43"/>
        <v>320347</v>
      </c>
      <c r="N55" s="121">
        <f t="shared" ca="1" si="43"/>
        <v>248119</v>
      </c>
      <c r="O55" s="120">
        <f t="shared" ca="1" si="40"/>
        <v>69.853322072072075</v>
      </c>
      <c r="P55" s="120">
        <f t="shared" ca="1" si="41"/>
        <v>77.45319918713146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355200</v>
      </c>
      <c r="M57" s="49">
        <f ca="1">IFERROR(__xludf.DUMMYFUNCTION("IMPORTRANGE(""https://docs.google.com/spreadsheets/d/1Yj_ptqi66GCucihVvJfMjLAmec39IyEx_6qawtMGysU/edit?usp=sharing"",""สบก!Z63"")"),320347)</f>
        <v>320347</v>
      </c>
      <c r="N57" s="49">
        <f ca="1">IFERROR(__xludf.DUMMYFUNCTION("IMPORTRANGE(""https://docs.google.com/spreadsheets/d/1Yj_ptqi66GCucihVvJfMjLAmec39IyEx_6qawtMGysU/edit?usp=sharing"",""สบก!AA63"")"),248119)</f>
        <v>248119</v>
      </c>
      <c r="O57" s="38">
        <f ca="1">IF(L57&gt;0,N57*100/L57,0)</f>
        <v>69.853322072072075</v>
      </c>
      <c r="P57" s="38">
        <f ca="1">IF(M57&gt;0,N57*100/M57,0)</f>
        <v>77.45319918713146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IFERROR(__xludf.DUMMYFUNCTION("IMPORTRANGE(""https://docs.google.com/spreadsheets/d/1Yj_ptqi66GCucihVvJfMjLAmec39IyEx_6qawtMGysU/edit?usp=sharing"",""สบก!V63"")"),355200)</f>
        <v>355200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IFERROR(__xludf.DUMMYFUNCTION("IMPORTRANGE(""https://docs.google.com/spreadsheets/d/1Yj_ptqi66GCucihVvJfMjLAmec39IyEx_6qawtMGysU/edit?usp=sharing"",""สบก!W63"")"),0)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IFERROR(__xludf.DUMMYFUNCTION("IMPORTRANGE(""https://docs.google.com/spreadsheets/d/1Yj_ptqi66GCucihVvJfMjLAmec39IyEx_6qawtMGysU/edit?usp=sharing"",""สบก!X63"")"),0)</f>
        <v>0</v>
      </c>
      <c r="M61" s="49"/>
      <c r="N61" s="49">
        <f ca="1">IFERROR(__xludf.DUMMYFUNCTION("IMPORTRANGE(""https://docs.google.com/spreadsheets/d/1Yj_ptqi66GCucihVvJfMjLAmec39IyEx_6qawtMGysU/edit?usp=sharing"",""สบก!AB63"")"),0)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IFERROR(__xludf.DUMMYFUNCTION("IMPORTRANGE(""https://docs.google.com/spreadsheets/d/1SX6NBoVAgQJ6U1MVXOaj8PK2l7WJ3RER9xtqwdhxkhw/edit?usp=sharing"",""ชัยนาท!I9"")"),1)</f>
        <v>1</v>
      </c>
      <c r="J64" s="142">
        <f ca="1">IFERROR(__xludf.DUMMYFUNCTION("IMPORTRANGE(""https://docs.google.com/spreadsheets/d/1SX6NBoVAgQJ6U1MVXOaj8PK2l7WJ3RER9xtqwdhxkhw/edit?usp=sharing"",""ชัยนาท!J9"")"),1)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IFERROR(__xludf.DUMMYFUNCTION("IMPORTRANGE(""https://docs.google.com/spreadsheets/d/1SX6NBoVAgQJ6U1MVXOaj8PK2l7WJ3RER9xtqwdhxkhw/edit?usp=sharing"",""ชัยนาท!I10"")"),30)</f>
        <v>30</v>
      </c>
      <c r="J65" s="142">
        <f ca="1">IFERROR(__xludf.DUMMYFUNCTION("IMPORTRANGE(""https://docs.google.com/spreadsheets/d/1SX6NBoVAgQJ6U1MVXOaj8PK2l7WJ3RER9xtqwdhxkhw/edit?usp=sharing"",""ชัยนาท!J10"")"),30)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453800</v>
      </c>
      <c r="M66" s="152">
        <f t="shared" ca="1" si="45"/>
        <v>460420</v>
      </c>
      <c r="N66" s="152">
        <f t="shared" ca="1" si="45"/>
        <v>383390</v>
      </c>
      <c r="O66" s="151">
        <f t="shared" ref="O66:O68" ca="1" si="46">IF(L66&gt;0,N66*100/L66,0)</f>
        <v>84.484354341119442</v>
      </c>
      <c r="P66" s="151">
        <f t="shared" ref="P66:P68" ca="1" si="47">IF(M66&gt;0,N66*100/M66,0)</f>
        <v>83.269623387341994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453800</v>
      </c>
      <c r="M68" s="157">
        <f t="shared" ca="1" si="49"/>
        <v>460420</v>
      </c>
      <c r="N68" s="157">
        <f t="shared" ca="1" si="49"/>
        <v>383390</v>
      </c>
      <c r="O68" s="156">
        <f t="shared" ca="1" si="46"/>
        <v>84.484354341119442</v>
      </c>
      <c r="P68" s="156">
        <f t="shared" ca="1" si="47"/>
        <v>83.269623387341994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453800</v>
      </c>
      <c r="M70" s="168">
        <f ca="1">IFERROR(__xludf.DUMMYFUNCTION("IMPORTRANGE(""https://docs.google.com/spreadsheets/d/1Yj_ptqi66GCucihVvJfMjLAmec39IyEx_6qawtMGysU/edit?usp=sharing"",""สบก!AI63"")"),460420)</f>
        <v>460420</v>
      </c>
      <c r="N70" s="169">
        <f ca="1">IFERROR(__xludf.DUMMYFUNCTION("IMPORTRANGE(""https://docs.google.com/spreadsheets/d/1Yj_ptqi66GCucihVvJfMjLAmec39IyEx_6qawtMGysU/edit?usp=sharing"",""สบก!AJ63"")"),383390)</f>
        <v>383390</v>
      </c>
      <c r="O70" s="169">
        <f ca="1">IF(L70&gt;0,N70*100/L70,0)</f>
        <v>84.484354341119442</v>
      </c>
      <c r="P70" s="169">
        <f ca="1">IF(M70&gt;0,N70*100/M70,0)</f>
        <v>83.269623387341994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IFERROR(__xludf.DUMMYFUNCTION("IMPORTRANGE(""https://docs.google.com/spreadsheets/d/1Yj_ptqi66GCucihVvJfMjLAmec39IyEx_6qawtMGysU/edit?usp=sharing"",""สบก!AE63"")"),81800)</f>
        <v>81800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IFERROR(__xludf.DUMMYFUNCTION("IMPORTRANGE(""https://docs.google.com/spreadsheets/d/1Yj_ptqi66GCucihVvJfMjLAmec39IyEx_6qawtMGysU/edit?usp=sharing"",""สบก!AF63"")"),372000)</f>
        <v>372000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IFERROR(__xludf.DUMMYFUNCTION("IMPORTRANGE(""https://docs.google.com/spreadsheets/d/1Yj_ptqi66GCucihVvJfMjLAmec39IyEx_6qawtMGysU/edit?usp=sharing"",""สบก!AG63"")"),0)</f>
        <v>0</v>
      </c>
      <c r="M74" s="49"/>
      <c r="N74" s="49">
        <f ca="1">IFERROR(__xludf.DUMMYFUNCTION("IMPORTRANGE(""https://docs.google.com/spreadsheets/d/1Yj_ptqi66GCucihVvJfMjLAmec39IyEx_6qawtMGysU/edit?usp=sharing"",""สบก!AK63"")"),0)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IFERROR(__xludf.DUMMYFUNCTION("IMPORTRANGE(""https://docs.google.com/spreadsheets/d/1SX6NBoVAgQJ6U1MVXOaj8PK2l7WJ3RER9xtqwdhxkhw/edit?usp=sharing"",""ชัยนาท!J16"")"),0)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IFERROR(__xludf.DUMMYFUNCTION("IMPORTRANGE(""https://docs.google.com/spreadsheets/d/1SX6NBoVAgQJ6U1MVXOaj8PK2l7WJ3RER9xtqwdhxkhw/edit?usp=sharing"",""ชัยนาท!J17"")"),1)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IFERROR(__xludf.DUMMYFUNCTION("IMPORTRANGE(""https://docs.google.com/spreadsheets/d/1SX6NBoVAgQJ6U1MVXOaj8PK2l7WJ3RER9xtqwdhxkhw/edit?usp=sharing"",""ชัยนาท!J18"")"),1)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IFERROR(__xludf.DUMMYFUNCTION("IMPORTRANGE(""https://docs.google.com/spreadsheets/d/1SX6NBoVAgQJ6U1MVXOaj8PK2l7WJ3RER9xtqwdhxkhw/edit?usp=sharing"",""ชัยนาท!J19"")"),1)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IFERROR(__xludf.DUMMYFUNCTION("IMPORTRANGE(""https://docs.google.com/spreadsheets/d/1SX6NBoVAgQJ6U1MVXOaj8PK2l7WJ3RER9xtqwdhxkhw/edit?usp=sharing"",""ชัยนาท!I20"")"),1)</f>
        <v>1</v>
      </c>
      <c r="J80" s="201">
        <f ca="1">IFERROR(__xludf.DUMMYFUNCTION("IMPORTRANGE(""https://docs.google.com/spreadsheets/d/1SX6NBoVAgQJ6U1MVXOaj8PK2l7WJ3RER9xtqwdhxkhw/edit?usp=sharing"",""ชัยนาท!J20"")"),1)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IFERROR(__xludf.DUMMYFUNCTION("IMPORTRANGE(""https://docs.google.com/spreadsheets/d/1SX6NBoVAgQJ6U1MVXOaj8PK2l7WJ3RER9xtqwdhxkhw/edit?usp=sharing"",""ชัยนาท!I21"")"),30)</f>
        <v>30</v>
      </c>
      <c r="J81" s="201">
        <f ca="1">IFERROR(__xludf.DUMMYFUNCTION("IMPORTRANGE(""https://docs.google.com/spreadsheets/d/1SX6NBoVAgQJ6U1MVXOaj8PK2l7WJ3RER9xtqwdhxkhw/edit?usp=sharing"",""ชัยนาท!J21"")"),30)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IFERROR(__xludf.DUMMYFUNCTION("IMPORTRANGE(""https://docs.google.com/spreadsheets/d/1SX6NBoVAgQJ6U1MVXOaj8PK2l7WJ3RER9xtqwdhxkhw/edit?usp=sharing"",""ชัยนาท!I22"")"),0)</f>
        <v>0</v>
      </c>
      <c r="J82" s="204">
        <f ca="1">IFERROR(__xludf.DUMMYFUNCTION("IMPORTRANGE(""https://docs.google.com/spreadsheets/d/1SX6NBoVAgQJ6U1MVXOaj8PK2l7WJ3RER9xtqwdhxkhw/edit?usp=sharing"",""ชัยนาท!J22"")"),0)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IFERROR(__xludf.DUMMYFUNCTION("IMPORTRANGE(""https://docs.google.com/spreadsheets/d/1SX6NBoVAgQJ6U1MVXOaj8PK2l7WJ3RER9xtqwdhxkhw/edit?usp=sharing"",""ชัยนาท!I23"")"),0)</f>
        <v>0</v>
      </c>
      <c r="J83" s="204">
        <f ca="1">IFERROR(__xludf.DUMMYFUNCTION("IMPORTRANGE(""https://docs.google.com/spreadsheets/d/1SX6NBoVAgQJ6U1MVXOaj8PK2l7WJ3RER9xtqwdhxkhw/edit?usp=sharing"",""ชัยนาท!J23"")"),0)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IFERROR(__xludf.DUMMYFUNCTION("IMPORTRANGE(""https://docs.google.com/spreadsheets/d/1SX6NBoVAgQJ6U1MVXOaj8PK2l7WJ3RER9xtqwdhxkhw/edit?usp=sharing"",""ชัยนาท!I24"")"),1)</f>
        <v>1</v>
      </c>
      <c r="J84" s="189">
        <f ca="1">IFERROR(__xludf.DUMMYFUNCTION("IMPORTRANGE(""https://docs.google.com/spreadsheets/d/1SX6NBoVAgQJ6U1MVXOaj8PK2l7WJ3RER9xtqwdhxkhw/edit?usp=sharing"",""ชัยนาท!J24"")"),1)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IFERROR(__xludf.DUMMYFUNCTION("IMPORTRANGE(""https://docs.google.com/spreadsheets/d/1SX6NBoVAgQJ6U1MVXOaj8PK2l7WJ3RER9xtqwdhxkhw/edit?usp=sharing"",""ชัยนาท!I25"")"),30)</f>
        <v>30</v>
      </c>
      <c r="J85" s="189">
        <f ca="1">IFERROR(__xludf.DUMMYFUNCTION("IMPORTRANGE(""https://docs.google.com/spreadsheets/d/1SX6NBoVAgQJ6U1MVXOaj8PK2l7WJ3RER9xtqwdhxkhw/edit?usp=sharing"",""ชัยนาท!J25"")"),30)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IFERROR(__xludf.DUMMYFUNCTION("IMPORTRANGE(""https://docs.google.com/spreadsheets/d/1SX6NBoVAgQJ6U1MVXOaj8PK2l7WJ3RER9xtqwdhxkhw/edit?usp=sharing"",""ชัยนาท!I26"")"),0)</f>
        <v>0</v>
      </c>
      <c r="J86" s="204">
        <f ca="1">IFERROR(__xludf.DUMMYFUNCTION("IMPORTRANGE(""https://docs.google.com/spreadsheets/d/1SX6NBoVAgQJ6U1MVXOaj8PK2l7WJ3RER9xtqwdhxkhw/edit?usp=sharing"",""ชัยนาท!J26"")"),0)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IFERROR(__xludf.DUMMYFUNCTION("IMPORTRANGE(""https://docs.google.com/spreadsheets/d/1SX6NBoVAgQJ6U1MVXOaj8PK2l7WJ3RER9xtqwdhxkhw/edit?usp=sharing"",""ชัยนาท!I27"")"),0)</f>
        <v>0</v>
      </c>
      <c r="J87" s="204">
        <f ca="1">IFERROR(__xludf.DUMMYFUNCTION("IMPORTRANGE(""https://docs.google.com/spreadsheets/d/1SX6NBoVAgQJ6U1MVXOaj8PK2l7WJ3RER9xtqwdhxkhw/edit?usp=sharing"",""ชัยนาท!J27"")"),0)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IFERROR(__xludf.DUMMYFUNCTION("IMPORTRANGE(""https://docs.google.com/spreadsheets/d/1SX6NBoVAgQJ6U1MVXOaj8PK2l7WJ3RER9xtqwdhxkhw/edit?usp=sharing"",""ชัยนาท!I28"")"),1)</f>
        <v>1</v>
      </c>
      <c r="J88" s="204">
        <f ca="1">IFERROR(__xludf.DUMMYFUNCTION("IMPORTRANGE(""https://docs.google.com/spreadsheets/d/1SX6NBoVAgQJ6U1MVXOaj8PK2l7WJ3RER9xtqwdhxkhw/edit?usp=sharing"",""ชัยนาท!J28"")"),1)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IFERROR(__xludf.DUMMYFUNCTION("IMPORTRANGE(""https://docs.google.com/spreadsheets/d/1SX6NBoVAgQJ6U1MVXOaj8PK2l7WJ3RER9xtqwdhxkhw/edit?usp=sharing"",""ชัยนาท!J29"")"),0)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IFERROR(__xludf.DUMMYFUNCTION("IMPORTRANGE(""https://docs.google.com/spreadsheets/d/1SX6NBoVAgQJ6U1MVXOaj8PK2l7WJ3RER9xtqwdhxkhw/edit?usp=sharing"",""ชัยนาท!J30"")"),0)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IFERROR(__xludf.DUMMYFUNCTION("IMPORTRANGE(""https://docs.google.com/spreadsheets/d/1SX6NBoVAgQJ6U1MVXOaj8PK2l7WJ3RER9xtqwdhxkhw/edit?usp=sharing"",""ชัยนาท!I32"")"),0)</f>
        <v>0</v>
      </c>
      <c r="J92" s="142">
        <f ca="1">IFERROR(__xludf.DUMMYFUNCTION("IMPORTRANGE(""https://docs.google.com/spreadsheets/d/1SX6NBoVAgQJ6U1MVXOaj8PK2l7WJ3RER9xtqwdhxkhw/edit?usp=sharing"",""ชัยนาท!J32"")"),0)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IFERROR(__xludf.DUMMYFUNCTION("IMPORTRANGE(""https://docs.google.com/spreadsheets/d/1SX6NBoVAgQJ6U1MVXOaj8PK2l7WJ3RER9xtqwdhxkhw/edit?usp=sharing"",""ชัยนาท!I33"")"),0)</f>
        <v>0</v>
      </c>
      <c r="J93" s="142">
        <f ca="1">IFERROR(__xludf.DUMMYFUNCTION("IMPORTRANGE(""https://docs.google.com/spreadsheets/d/1SX6NBoVAgQJ6U1MVXOaj8PK2l7WJ3RER9xtqwdhxkhw/edit?usp=sharing"",""ชัยนาท!J33"")"),0)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IFERROR(__xludf.DUMMYFUNCTION("IMPORTRANGE(""https://docs.google.com/spreadsheets/d/1Yj_ptqi66GCucihVvJfMjLAmec39IyEx_6qawtMGysU/edit?usp=sharing"",""สบก!AR63"")"),0)</f>
        <v>0</v>
      </c>
      <c r="N98" s="169">
        <f ca="1">IFERROR(__xludf.DUMMYFUNCTION("IMPORTRANGE(""https://docs.google.com/spreadsheets/d/1Yj_ptqi66GCucihVvJfMjLAmec39IyEx_6qawtMGysU/edit?usp=sharing"",""สบก!AS63"")"),0)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IFERROR(__xludf.DUMMYFUNCTION("IMPORTRANGE(""https://docs.google.com/spreadsheets/d/1Yj_ptqi66GCucihVvJfMjLAmec39IyEx_6qawtMGysU/edit?usp=sharing"",""สบก!AO63"")"),0)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IFERROR(__xludf.DUMMYFUNCTION("IMPORTRANGE(""https://docs.google.com/spreadsheets/d/1Yj_ptqi66GCucihVvJfMjLAmec39IyEx_6qawtMGysU/edit?usp=sharing"",""สบก!AP63"")"),0)</f>
        <v>0</v>
      </c>
      <c r="M102" s="49"/>
      <c r="N102" s="49">
        <f ca="1">IFERROR(__xludf.DUMMYFUNCTION("IMPORTRANGE(""https://docs.google.com/spreadsheets/d/1Yj_ptqi66GCucihVvJfMjLAmec39IyEx_6qawtMGysU/edit?usp=sharing"",""สบก!AT63"")"),0)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IFERROR(__xludf.DUMMYFUNCTION("IMPORTRANGE(""https://docs.google.com/spreadsheets/d/1SX6NBoVAgQJ6U1MVXOaj8PK2l7WJ3RER9xtqwdhxkhw/edit?usp=sharing"",""ชัยนาท!J39"")"),0)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IFERROR(__xludf.DUMMYFUNCTION("IMPORTRANGE(""https://docs.google.com/spreadsheets/d/1SX6NBoVAgQJ6U1MVXOaj8PK2l7WJ3RER9xtqwdhxkhw/edit?usp=sharing"",""ชัยนาท!J40"")"),0)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IFERROR(__xludf.DUMMYFUNCTION("IMPORTRANGE(""https://docs.google.com/spreadsheets/d/1SX6NBoVAgQJ6U1MVXOaj8PK2l7WJ3RER9xtqwdhxkhw/edit?usp=sharing"",""ชัยนาท!J41"")"),0)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IFERROR(__xludf.DUMMYFUNCTION("IMPORTRANGE(""https://docs.google.com/spreadsheets/d/1SX6NBoVAgQJ6U1MVXOaj8PK2l7WJ3RER9xtqwdhxkhw/edit?usp=sharing"",""ชัยนาท!J42"")"),0)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IFERROR(__xludf.DUMMYFUNCTION("IMPORTRANGE(""https://docs.google.com/spreadsheets/d/1SX6NBoVAgQJ6U1MVXOaj8PK2l7WJ3RER9xtqwdhxkhw/edit?usp=sharing"",""ชัยนาท!I43"")"),0)</f>
        <v>0</v>
      </c>
      <c r="J108" s="204">
        <f ca="1">IFERROR(__xludf.DUMMYFUNCTION("IMPORTRANGE(""https://docs.google.com/spreadsheets/d/1SX6NBoVAgQJ6U1MVXOaj8PK2l7WJ3RER9xtqwdhxkhw/edit?usp=sharing"",""ชัยนาท!J43"")"),0)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IFERROR(__xludf.DUMMYFUNCTION("IMPORTRANGE(""https://docs.google.com/spreadsheets/d/1SX6NBoVAgQJ6U1MVXOaj8PK2l7WJ3RER9xtqwdhxkhw/edit?usp=sharing"",""ชัยนาท!I44"")"),0)</f>
        <v>0</v>
      </c>
      <c r="J109" s="204">
        <f ca="1">IFERROR(__xludf.DUMMYFUNCTION("IMPORTRANGE(""https://docs.google.com/spreadsheets/d/1SX6NBoVAgQJ6U1MVXOaj8PK2l7WJ3RER9xtqwdhxkhw/edit?usp=sharing"",""ชัยนาท!J44"")"),0)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IFERROR(__xludf.DUMMYFUNCTION("IMPORTRANGE(""https://docs.google.com/spreadsheets/d/1SX6NBoVAgQJ6U1MVXOaj8PK2l7WJ3RER9xtqwdhxkhw/edit?usp=sharing"",""ชัยนาท!I45"")"),0)</f>
        <v>0</v>
      </c>
      <c r="J110" s="204">
        <f ca="1">IFERROR(__xludf.DUMMYFUNCTION("IMPORTRANGE(""https://docs.google.com/spreadsheets/d/1SX6NBoVAgQJ6U1MVXOaj8PK2l7WJ3RER9xtqwdhxkhw/edit?usp=sharing"",""ชัยนาท!J45"")"),0)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IFERROR(__xludf.DUMMYFUNCTION("IMPORTRANGE(""https://docs.google.com/spreadsheets/d/1SX6NBoVAgQJ6U1MVXOaj8PK2l7WJ3RER9xtqwdhxkhw/edit?usp=sharing"",""ชัยนาท!I46"")"),0)</f>
        <v>0</v>
      </c>
      <c r="J111" s="204">
        <f ca="1">IFERROR(__xludf.DUMMYFUNCTION("IMPORTRANGE(""https://docs.google.com/spreadsheets/d/1SX6NBoVAgQJ6U1MVXOaj8PK2l7WJ3RER9xtqwdhxkhw/edit?usp=sharing"",""ชัยนาท!J46"")"),0)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IFERROR(__xludf.DUMMYFUNCTION("IMPORTRANGE(""https://docs.google.com/spreadsheets/d/1SX6NBoVAgQJ6U1MVXOaj8PK2l7WJ3RER9xtqwdhxkhw/edit?usp=sharing"",""ชัยนาท!I47"")"),0)</f>
        <v>0</v>
      </c>
      <c r="J112" s="204">
        <f ca="1">IFERROR(__xludf.DUMMYFUNCTION("IMPORTRANGE(""https://docs.google.com/spreadsheets/d/1SX6NBoVAgQJ6U1MVXOaj8PK2l7WJ3RER9xtqwdhxkhw/edit?usp=sharing"",""ชัยนาท!J47"")"),0)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IFERROR(__xludf.DUMMYFUNCTION("IMPORTRANGE(""https://docs.google.com/spreadsheets/d/1SX6NBoVAgQJ6U1MVXOaj8PK2l7WJ3RER9xtqwdhxkhw/edit?usp=sharing"",""ชัยนาท!I48"")"),0)</f>
        <v>0</v>
      </c>
      <c r="J113" s="204">
        <f ca="1">IFERROR(__xludf.DUMMYFUNCTION("IMPORTRANGE(""https://docs.google.com/spreadsheets/d/1SX6NBoVAgQJ6U1MVXOaj8PK2l7WJ3RER9xtqwdhxkhw/edit?usp=sharing"",""ชัยนาท!J48"")"),0)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IFERROR(__xludf.DUMMYFUNCTION("IMPORTRANGE(""https://docs.google.com/spreadsheets/d/1SX6NBoVAgQJ6U1MVXOaj8PK2l7WJ3RER9xtqwdhxkhw/edit?usp=sharing"",""ชัยนาท!J49"")"),0)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IFERROR(__xludf.DUMMYFUNCTION("IMPORTRANGE(""https://docs.google.com/spreadsheets/d/1SX6NBoVAgQJ6U1MVXOaj8PK2l7WJ3RER9xtqwdhxkhw/edit?usp=sharing"",""ชัยนาท!J50"")"),0)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IFERROR(__xludf.DUMMYFUNCTION("IMPORTRANGE(""https://docs.google.com/spreadsheets/d/1SX6NBoVAgQJ6U1MVXOaj8PK2l7WJ3RER9xtqwdhxkhw/edit?usp=sharing"",""ชัยนาท!I52"")"),0)</f>
        <v>0</v>
      </c>
      <c r="J117" s="142">
        <f ca="1">IFERROR(__xludf.DUMMYFUNCTION("IMPORTRANGE(""https://docs.google.com/spreadsheets/d/1SX6NBoVAgQJ6U1MVXOaj8PK2l7WJ3RER9xtqwdhxkhw/edit?usp=sharing"",""ชัยนาท!J52"")"),0)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IFERROR(__xludf.DUMMYFUNCTION("IMPORTRANGE(""https://docs.google.com/spreadsheets/d/1Yj_ptqi66GCucihVvJfMjLAmec39IyEx_6qawtMGysU/edit?usp=sharing"",""สบก!BA63"")"),0)</f>
        <v>0</v>
      </c>
      <c r="N122" s="169">
        <f ca="1">IFERROR(__xludf.DUMMYFUNCTION("IMPORTRANGE(""https://docs.google.com/spreadsheets/d/1Yj_ptqi66GCucihVvJfMjLAmec39IyEx_6qawtMGysU/edit?usp=sharing"",""สบก!BB63"")"),0)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IFERROR(__xludf.DUMMYFUNCTION("IMPORTRANGE(""https://docs.google.com/spreadsheets/d/1Yj_ptqi66GCucihVvJfMjLAmec39IyEx_6qawtMGysU/edit?usp=sharing"",""สบก!AX63"")"),0)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IFERROR(__xludf.DUMMYFUNCTION("IMPORTRANGE(""https://docs.google.com/spreadsheets/d/1Yj_ptqi66GCucihVvJfMjLAmec39IyEx_6qawtMGysU/edit?usp=sharing"",""สบก!AY63"")"),0)</f>
        <v>0</v>
      </c>
      <c r="M126" s="49"/>
      <c r="N126" s="49">
        <f ca="1">IFERROR(__xludf.DUMMYFUNCTION("IMPORTRANGE(""https://docs.google.com/spreadsheets/d/1Yj_ptqi66GCucihVvJfMjLAmec39IyEx_6qawtMGysU/edit?usp=sharing"",""สบก!BC63"")"),0)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IFERROR(__xludf.DUMMYFUNCTION("IMPORTRANGE(""https://docs.google.com/spreadsheets/d/1SX6NBoVAgQJ6U1MVXOaj8PK2l7WJ3RER9xtqwdhxkhw/edit?usp=sharing"",""ชัยนาท!J58"")"),0)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IFERROR(__xludf.DUMMYFUNCTION("IMPORTRANGE(""https://docs.google.com/spreadsheets/d/1SX6NBoVAgQJ6U1MVXOaj8PK2l7WJ3RER9xtqwdhxkhw/edit?usp=sharing"",""ชัยนาท!J59"")"),0)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IFERROR(__xludf.DUMMYFUNCTION("IMPORTRANGE(""https://docs.google.com/spreadsheets/d/1SX6NBoVAgQJ6U1MVXOaj8PK2l7WJ3RER9xtqwdhxkhw/edit?usp=sharing"",""ชัยนาท!J60"")"),0)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IFERROR(__xludf.DUMMYFUNCTION("IMPORTRANGE(""https://docs.google.com/spreadsheets/d/1SX6NBoVAgQJ6U1MVXOaj8PK2l7WJ3RER9xtqwdhxkhw/edit?usp=sharing"",""ชัยนาท!J61"")"),0)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IFERROR(__xludf.DUMMYFUNCTION("IMPORTRANGE(""https://docs.google.com/spreadsheets/d/1SX6NBoVAgQJ6U1MVXOaj8PK2l7WJ3RER9xtqwdhxkhw/edit?usp=sharing"",""ชัยนาท!I62"")"),0)</f>
        <v>0</v>
      </c>
      <c r="J132" s="204">
        <f ca="1">IFERROR(__xludf.DUMMYFUNCTION("IMPORTRANGE(""https://docs.google.com/spreadsheets/d/1SX6NBoVAgQJ6U1MVXOaj8PK2l7WJ3RER9xtqwdhxkhw/edit?usp=sharing"",""ชัยนาท!J62"")"),0)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IFERROR(__xludf.DUMMYFUNCTION("IMPORTRANGE(""https://docs.google.com/spreadsheets/d/1SX6NBoVAgQJ6U1MVXOaj8PK2l7WJ3RER9xtqwdhxkhw/edit?usp=sharing"",""ชัยนาท!I63"")"),0)</f>
        <v>0</v>
      </c>
      <c r="J133" s="204">
        <f ca="1">IFERROR(__xludf.DUMMYFUNCTION("IMPORTRANGE(""https://docs.google.com/spreadsheets/d/1SX6NBoVAgQJ6U1MVXOaj8PK2l7WJ3RER9xtqwdhxkhw/edit?usp=sharing"",""ชัยนาท!J63"")"),0)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IFERROR(__xludf.DUMMYFUNCTION("IMPORTRANGE(""https://docs.google.com/spreadsheets/d/1SX6NBoVAgQJ6U1MVXOaj8PK2l7WJ3RER9xtqwdhxkhw/edit?usp=sharing"",""ชัยนาท!J64"")"),0)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IFERROR(__xludf.DUMMYFUNCTION("IMPORTRANGE(""https://docs.google.com/spreadsheets/d/1SX6NBoVAgQJ6U1MVXOaj8PK2l7WJ3RER9xtqwdhxkhw/edit?usp=sharing"",""ชัยนาท!J65"")"),0)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IFERROR(__xludf.DUMMYFUNCTION("IMPORTRANGE(""https://docs.google.com/spreadsheets/d/1SX6NBoVAgQJ6U1MVXOaj8PK2l7WJ3RER9xtqwdhxkhw/edit?usp=sharing"",""ชัยนาท!I68"")"),15)</f>
        <v>15</v>
      </c>
      <c r="J138" s="268">
        <f ca="1">IFERROR(__xludf.DUMMYFUNCTION("IMPORTRANGE(""https://docs.google.com/spreadsheets/d/1SX6NBoVAgQJ6U1MVXOaj8PK2l7WJ3RER9xtqwdhxkhw/edit?usp=sharing"",""ชัยนาท!J68"")"),15)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264400</v>
      </c>
      <c r="M140" s="152">
        <f t="shared" ca="1" si="64"/>
        <v>272400</v>
      </c>
      <c r="N140" s="152">
        <f t="shared" ca="1" si="64"/>
        <v>207564.26</v>
      </c>
      <c r="O140" s="151">
        <f t="shared" ref="O140:O142" ca="1" si="65">IF(L140&gt;0,N140*100/L140,0)</f>
        <v>78.503880484114973</v>
      </c>
      <c r="P140" s="151">
        <f t="shared" ref="P140:P142" ca="1" si="66">IF(M140&gt;0,N140*100/M140,0)</f>
        <v>76.198333333333338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264400</v>
      </c>
      <c r="M142" s="157">
        <f t="shared" ca="1" si="68"/>
        <v>272400</v>
      </c>
      <c r="N142" s="157">
        <f t="shared" ca="1" si="68"/>
        <v>207564.26</v>
      </c>
      <c r="O142" s="156">
        <f t="shared" ca="1" si="65"/>
        <v>78.503880484114973</v>
      </c>
      <c r="P142" s="156">
        <f t="shared" ca="1" si="66"/>
        <v>76.198333333333338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264400</v>
      </c>
      <c r="M144" s="168">
        <f ca="1">IFERROR(__xludf.DUMMYFUNCTION("IMPORTRANGE(""https://docs.google.com/spreadsheets/d/1Yj_ptqi66GCucihVvJfMjLAmec39IyEx_6qawtMGysU/edit?usp=sharing"",""สบก!BJ63"")"),272400)</f>
        <v>272400</v>
      </c>
      <c r="N144" s="169">
        <f ca="1">IFERROR(__xludf.DUMMYFUNCTION("IMPORTRANGE(""https://docs.google.com/spreadsheets/d/1Yj_ptqi66GCucihVvJfMjLAmec39IyEx_6qawtMGysU/edit?usp=sharing"",""สบก!BK63"")"),207564.26)</f>
        <v>207564.26</v>
      </c>
      <c r="O144" s="169">
        <f ca="1">IF(L144&gt;0,N144*100/L144,0)</f>
        <v>78.503880484114973</v>
      </c>
      <c r="P144" s="169">
        <f ca="1">IF(M144&gt;0,N144*100/M144,0)</f>
        <v>76.198333333333338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IFERROR(__xludf.DUMMYFUNCTION("IMPORTRANGE(""https://docs.google.com/spreadsheets/d/1Yj_ptqi66GCucihVvJfMjLAmec39IyEx_6qawtMGysU/edit?usp=sharing"",""สบก!BF63"")"),219800)</f>
        <v>219800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IFERROR(__xludf.DUMMYFUNCTION("IMPORTRANGE(""https://docs.google.com/spreadsheets/d/1Yj_ptqi66GCucihVvJfMjLAmec39IyEx_6qawtMGysU/edit?usp=sharing"",""สบก!BG63"")"),44600)</f>
        <v>44600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IFERROR(__xludf.DUMMYFUNCTION("IMPORTRANGE(""https://docs.google.com/spreadsheets/d/1Yj_ptqi66GCucihVvJfMjLAmec39IyEx_6qawtMGysU/edit?usp=sharing"",""สบก!BH63"")"),0)</f>
        <v>0</v>
      </c>
      <c r="M148" s="49"/>
      <c r="N148" s="49">
        <f ca="1">IFERROR(__xludf.DUMMYFUNCTION("IMPORTRANGE(""https://docs.google.com/spreadsheets/d/1Yj_ptqi66GCucihVvJfMjLAmec39IyEx_6qawtMGysU/edit?usp=sharing"",""สบก!BL63"")"),0)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IFERROR(__xludf.DUMMYFUNCTION("IMPORTRANGE(""https://docs.google.com/spreadsheets/d/1SX6NBoVAgQJ6U1MVXOaj8PK2l7WJ3RER9xtqwdhxkhw/edit?usp=sharing"",""ชัยนาท!I74"")"),4)</f>
        <v>4</v>
      </c>
      <c r="J149" s="276">
        <f ca="1">IFERROR(__xludf.DUMMYFUNCTION("IMPORTRANGE(""https://docs.google.com/spreadsheets/d/1SX6NBoVAgQJ6U1MVXOaj8PK2l7WJ3RER9xtqwdhxkhw/edit?usp=sharing"",""ชัยนาท!J74"")"),3)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IFERROR(__xludf.DUMMYFUNCTION("IMPORTRANGE(""https://docs.google.com/spreadsheets/d/1SX6NBoVAgQJ6U1MVXOaj8PK2l7WJ3RER9xtqwdhxkhw/edit?usp=sharing"",""ชัยนาท!J79"")"),0)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IFERROR(__xludf.DUMMYFUNCTION("IMPORTRANGE(""https://docs.google.com/spreadsheets/d/1SX6NBoVAgQJ6U1MVXOaj8PK2l7WJ3RER9xtqwdhxkhw/edit?usp=sharing"",""ชัยนาท!J80"")"),1)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IFERROR(__xludf.DUMMYFUNCTION("IMPORTRANGE(""https://docs.google.com/spreadsheets/d/1SX6NBoVAgQJ6U1MVXOaj8PK2l7WJ3RER9xtqwdhxkhw/edit?usp=sharing"",""ชัยนาท!J81"")"),1)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IFERROR(__xludf.DUMMYFUNCTION("IMPORTRANGE(""https://docs.google.com/spreadsheets/d/1SX6NBoVAgQJ6U1MVXOaj8PK2l7WJ3RER9xtqwdhxkhw/edit?usp=sharing"",""ชัยนาท!J82"")"),1)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IFERROR(__xludf.DUMMYFUNCTION("IMPORTRANGE(""https://docs.google.com/spreadsheets/d/1SX6NBoVAgQJ6U1MVXOaj8PK2l7WJ3RER9xtqwdhxkhw/edit?usp=sharing"",""ชัยนาท!I83"")"),4)</f>
        <v>4</v>
      </c>
      <c r="J158" s="189">
        <f ca="1">IFERROR(__xludf.DUMMYFUNCTION("IMPORTRANGE(""https://docs.google.com/spreadsheets/d/1SX6NBoVAgQJ6U1MVXOaj8PK2l7WJ3RER9xtqwdhxkhw/edit?usp=sharing"",""ชัยนาท!J83"")"),3)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IFERROR(__xludf.DUMMYFUNCTION("IMPORTRANGE(""https://docs.google.com/spreadsheets/d/1SX6NBoVAgQJ6U1MVXOaj8PK2l7WJ3RER9xtqwdhxkhw/edit?usp=sharing"",""ชัยนาท!J84"")"),231)</f>
        <v>231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IFERROR(__xludf.DUMMYFUNCTION("IMPORTRANGE(""https://docs.google.com/spreadsheets/d/1SX6NBoVAgQJ6U1MVXOaj8PK2l7WJ3RER9xtqwdhxkhw/edit?usp=sharing"",""ชัยนาท!J85"")"),231)</f>
        <v>231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IFERROR(__xludf.DUMMYFUNCTION("IMPORTRANGE(""https://docs.google.com/spreadsheets/d/1SX6NBoVAgQJ6U1MVXOaj8PK2l7WJ3RER9xtqwdhxkhw/edit?usp=sharing"",""ชัยนาท!J86"")"),0)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IFERROR(__xludf.DUMMYFUNCTION("IMPORTRANGE(""https://docs.google.com/spreadsheets/d/1SX6NBoVAgQJ6U1MVXOaj8PK2l7WJ3RER9xtqwdhxkhw/edit?usp=sharing"",""ชัยนาท!J87"")"),0)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IFERROR(__xludf.DUMMYFUNCTION("IMPORTRANGE(""https://docs.google.com/spreadsheets/d/1SX6NBoVAgQJ6U1MVXOaj8PK2l7WJ3RER9xtqwdhxkhw/edit?usp=sharing"",""ชัยนาท!J88"")"),0)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IFERROR(__xludf.DUMMYFUNCTION("IMPORTRANGE(""https://docs.google.com/spreadsheets/d/1SX6NBoVAgQJ6U1MVXOaj8PK2l7WJ3RER9xtqwdhxkhw/edit?usp=sharing"",""ชัยนาท!I89"")"),1)</f>
        <v>1</v>
      </c>
      <c r="J164" s="285">
        <f ca="1">IFERROR(__xludf.DUMMYFUNCTION("IMPORTRANGE(""https://docs.google.com/spreadsheets/d/1SX6NBoVAgQJ6U1MVXOaj8PK2l7WJ3RER9xtqwdhxkhw/edit?usp=sharing"",""ชัยนาท!J89"")"),1)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IFERROR(__xludf.DUMMYFUNCTION("IMPORTRANGE(""https://docs.google.com/spreadsheets/d/1SX6NBoVAgQJ6U1MVXOaj8PK2l7WJ3RER9xtqwdhxkhw/edit?usp=sharing"",""ชัยนาท!J94"")"),0)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IFERROR(__xludf.DUMMYFUNCTION("IMPORTRANGE(""https://docs.google.com/spreadsheets/d/1SX6NBoVAgQJ6U1MVXOaj8PK2l7WJ3RER9xtqwdhxkhw/edit?usp=sharing"",""ชัยนาท!J95"")"),1)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IFERROR(__xludf.DUMMYFUNCTION("IMPORTRANGE(""https://docs.google.com/spreadsheets/d/1SX6NBoVAgQJ6U1MVXOaj8PK2l7WJ3RER9xtqwdhxkhw/edit?usp=sharing"",""ชัยนาท!J96"")"),1)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IFERROR(__xludf.DUMMYFUNCTION("IMPORTRANGE(""https://docs.google.com/spreadsheets/d/1SX6NBoVAgQJ6U1MVXOaj8PK2l7WJ3RER9xtqwdhxkhw/edit?usp=sharing"",""ชัยนาท!J97"")"),1)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IFERROR(__xludf.DUMMYFUNCTION("IMPORTRANGE(""https://docs.google.com/spreadsheets/d/1SX6NBoVAgQJ6U1MVXOaj8PK2l7WJ3RER9xtqwdhxkhw/edit?usp=sharing"",""ชัยนาท!I98"")"),1)</f>
        <v>1</v>
      </c>
      <c r="J173" s="189">
        <f ca="1">IFERROR(__xludf.DUMMYFUNCTION("IMPORTRANGE(""https://docs.google.com/spreadsheets/d/1SX6NBoVAgQJ6U1MVXOaj8PK2l7WJ3RER9xtqwdhxkhw/edit?usp=sharing"",""ชัยนาท!J98"")"),1)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IFERROR(__xludf.DUMMYFUNCTION("IMPORTRANGE(""https://docs.google.com/spreadsheets/d/1SX6NBoVAgQJ6U1MVXOaj8PK2l7WJ3RER9xtqwdhxkhw/edit?usp=sharing"",""ชัยนาท!J99"")"),0)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IFERROR(__xludf.DUMMYFUNCTION("IMPORTRANGE(""https://docs.google.com/spreadsheets/d/1SX6NBoVAgQJ6U1MVXOaj8PK2l7WJ3RER9xtqwdhxkhw/edit?usp=sharing"",""ชัยนาท!J100"")"),0)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IFERROR(__xludf.DUMMYFUNCTION("IMPORTRANGE(""https://docs.google.com/spreadsheets/d/1SX6NBoVAgQJ6U1MVXOaj8PK2l7WJ3RER9xtqwdhxkhw/edit?usp=sharing"",""ชัยนาท!I101"")"),0)</f>
        <v>0</v>
      </c>
      <c r="J176" s="285">
        <f ca="1">IFERROR(__xludf.DUMMYFUNCTION("IMPORTRANGE(""https://docs.google.com/spreadsheets/d/1SX6NBoVAgQJ6U1MVXOaj8PK2l7WJ3RER9xtqwdhxkhw/edit?usp=sharing"",""ชัยนาท!J101"")"),0)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IFERROR(__xludf.DUMMYFUNCTION("IMPORTRANGE(""https://docs.google.com/spreadsheets/d/1SX6NBoVAgQJ6U1MVXOaj8PK2l7WJ3RER9xtqwdhxkhw/edit?usp=sharing"",""ชัยนาท!J106"")"),0)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IFERROR(__xludf.DUMMYFUNCTION("IMPORTRANGE(""https://docs.google.com/spreadsheets/d/1SX6NBoVAgQJ6U1MVXOaj8PK2l7WJ3RER9xtqwdhxkhw/edit?usp=sharing"",""ชัยนาท!J107"")"),0)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IFERROR(__xludf.DUMMYFUNCTION("IMPORTRANGE(""https://docs.google.com/spreadsheets/d/1SX6NBoVAgQJ6U1MVXOaj8PK2l7WJ3RER9xtqwdhxkhw/edit?usp=sharing"",""ชัยนาท!J108"")"),0)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IFERROR(__xludf.DUMMYFUNCTION("IMPORTRANGE(""https://docs.google.com/spreadsheets/d/1SX6NBoVAgQJ6U1MVXOaj8PK2l7WJ3RER9xtqwdhxkhw/edit?usp=sharing"",""ชัยนาท!J109"")"),0)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IFERROR(__xludf.DUMMYFUNCTION("IMPORTRANGE(""https://docs.google.com/spreadsheets/d/1SX6NBoVAgQJ6U1MVXOaj8PK2l7WJ3RER9xtqwdhxkhw/edit?usp=sharing"",""ชัยนาท!I110"")"),0)</f>
        <v>0</v>
      </c>
      <c r="J185" s="204">
        <f ca="1">IFERROR(__xludf.DUMMYFUNCTION("IMPORTRANGE(""https://docs.google.com/spreadsheets/d/1SX6NBoVAgQJ6U1MVXOaj8PK2l7WJ3RER9xtqwdhxkhw/edit?usp=sharing"",""ชัยนาท!J110"")"),0)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IFERROR(__xludf.DUMMYFUNCTION("IMPORTRANGE(""https://docs.google.com/spreadsheets/d/1SX6NBoVAgQJ6U1MVXOaj8PK2l7WJ3RER9xtqwdhxkhw/edit?usp=sharing"",""ชัยนาท!I111"")"),0)</f>
        <v>0</v>
      </c>
      <c r="J186" s="204">
        <f ca="1">IFERROR(__xludf.DUMMYFUNCTION("IMPORTRANGE(""https://docs.google.com/spreadsheets/d/1SX6NBoVAgQJ6U1MVXOaj8PK2l7WJ3RER9xtqwdhxkhw/edit?usp=sharing"",""ชัยนาท!J111"")"),0)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IFERROR(__xludf.DUMMYFUNCTION("IMPORTRANGE(""https://docs.google.com/spreadsheets/d/1SX6NBoVAgQJ6U1MVXOaj8PK2l7WJ3RER9xtqwdhxkhw/edit?usp=sharing"",""ชัยนาท!J112"")"),0)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IFERROR(__xludf.DUMMYFUNCTION("IMPORTRANGE(""https://docs.google.com/spreadsheets/d/1SX6NBoVAgQJ6U1MVXOaj8PK2l7WJ3RER9xtqwdhxkhw/edit?usp=sharing"",""ชัยนาท!J113"")"),0)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IFERROR(__xludf.DUMMYFUNCTION("IMPORTRANGE(""https://docs.google.com/spreadsheets/d/1SX6NBoVAgQJ6U1MVXOaj8PK2l7WJ3RER9xtqwdhxkhw/edit?usp=sharing"",""ชัยนาท!I114"")"),12800)</f>
        <v>12800</v>
      </c>
      <c r="J189" s="285">
        <f ca="1">IFERROR(__xludf.DUMMYFUNCTION("IMPORTRANGE(""https://docs.google.com/spreadsheets/d/1SX6NBoVAgQJ6U1MVXOaj8PK2l7WJ3RER9xtqwdhxkhw/edit?usp=sharing"",""ชัยนาท!J114"")"),12800)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IFERROR(__xludf.DUMMYFUNCTION("IMPORTRANGE(""https://docs.google.com/spreadsheets/d/1SX6NBoVAgQJ6U1MVXOaj8PK2l7WJ3RER9xtqwdhxkhw/edit?usp=sharing"",""ชัยนาท!J119"")"),0)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IFERROR(__xludf.DUMMYFUNCTION("IMPORTRANGE(""https://docs.google.com/spreadsheets/d/1SX6NBoVAgQJ6U1MVXOaj8PK2l7WJ3RER9xtqwdhxkhw/edit?usp=sharing"",""ชัยนาท!J120"")"),1)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IFERROR(__xludf.DUMMYFUNCTION("IMPORTRANGE(""https://docs.google.com/spreadsheets/d/1SX6NBoVAgQJ6U1MVXOaj8PK2l7WJ3RER9xtqwdhxkhw/edit?usp=sharing"",""ชัยนาท!J121"")"),1)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IFERROR(__xludf.DUMMYFUNCTION("IMPORTRANGE(""https://docs.google.com/spreadsheets/d/1SX6NBoVAgQJ6U1MVXOaj8PK2l7WJ3RER9xtqwdhxkhw/edit?usp=sharing"",""ชัยนาท!J122"")"),1)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IFERROR(__xludf.DUMMYFUNCTION("IMPORTRANGE(""https://docs.google.com/spreadsheets/d/1SX6NBoVAgQJ6U1MVXOaj8PK2l7WJ3RER9xtqwdhxkhw/edit?usp=sharing"",""ชัยนาท!I124"")"),12800)</f>
        <v>12800</v>
      </c>
      <c r="J199" s="189">
        <f ca="1">IFERROR(__xludf.DUMMYFUNCTION("IMPORTRANGE(""https://docs.google.com/spreadsheets/d/1SX6NBoVAgQJ6U1MVXOaj8PK2l7WJ3RER9xtqwdhxkhw/edit?usp=sharing"",""ชัยนาท!J124"")"),12800)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IFERROR(__xludf.DUMMYFUNCTION("IMPORTRANGE(""https://docs.google.com/spreadsheets/d/1SX6NBoVAgQJ6U1MVXOaj8PK2l7WJ3RER9xtqwdhxkhw/edit?usp=sharing"",""ชัยนาท!I125"")"),12800)</f>
        <v>12800</v>
      </c>
      <c r="J200" s="189">
        <f ca="1">IFERROR(__xludf.DUMMYFUNCTION("IMPORTRANGE(""https://docs.google.com/spreadsheets/d/1SX6NBoVAgQJ6U1MVXOaj8PK2l7WJ3RER9xtqwdhxkhw/edit?usp=sharing"",""ชัยนาท!J125"")"),12800)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IFERROR(__xludf.DUMMYFUNCTION("IMPORTRANGE(""https://docs.google.com/spreadsheets/d/1SX6NBoVAgQJ6U1MVXOaj8PK2l7WJ3RER9xtqwdhxkhw/edit?usp=sharing"",""ชัยนาท!I126"")"),15)</f>
        <v>15</v>
      </c>
      <c r="J201" s="189">
        <f ca="1">IFERROR(__xludf.DUMMYFUNCTION("IMPORTRANGE(""https://docs.google.com/spreadsheets/d/1SX6NBoVAgQJ6U1MVXOaj8PK2l7WJ3RER9xtqwdhxkhw/edit?usp=sharing"",""ชัยนาท!J126"")"),15)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IFERROR(__xludf.DUMMYFUNCTION("IMPORTRANGE(""https://docs.google.com/spreadsheets/d/1SX6NBoVAgQJ6U1MVXOaj8PK2l7WJ3RER9xtqwdhxkhw/edit?usp=sharing"",""ชัยนาท!J127"")"),1)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IFERROR(__xludf.DUMMYFUNCTION("IMPORTRANGE(""https://docs.google.com/spreadsheets/d/1SX6NBoVAgQJ6U1MVXOaj8PK2l7WJ3RER9xtqwdhxkhw/edit?usp=sharing"",""ชัยนาท!J128"")"),0)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IFERROR(__xludf.DUMMYFUNCTION("IMPORTRANGE(""https://docs.google.com/spreadsheets/d/1SX6NBoVAgQJ6U1MVXOaj8PK2l7WJ3RER9xtqwdhxkhw/edit?usp=sharing"",""ชัยนาท!I129"")"),0)</f>
        <v>0</v>
      </c>
      <c r="J204" s="285">
        <f ca="1">IFERROR(__xludf.DUMMYFUNCTION("IMPORTRANGE(""https://docs.google.com/spreadsheets/d/1SX6NBoVAgQJ6U1MVXOaj8PK2l7WJ3RER9xtqwdhxkhw/edit?usp=sharing"",""ชัยนาท!J129"")"),0)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IFERROR(__xludf.DUMMYFUNCTION("IMPORTRANGE(""https://docs.google.com/spreadsheets/d/1SX6NBoVAgQJ6U1MVXOaj8PK2l7WJ3RER9xtqwdhxkhw/edit?usp=sharing"",""ชัยนาท!J134"")"),0)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IFERROR(__xludf.DUMMYFUNCTION("IMPORTRANGE(""https://docs.google.com/spreadsheets/d/1SX6NBoVAgQJ6U1MVXOaj8PK2l7WJ3RER9xtqwdhxkhw/edit?usp=sharing"",""ชัยนาท!J135"")"),0)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IFERROR(__xludf.DUMMYFUNCTION("IMPORTRANGE(""https://docs.google.com/spreadsheets/d/1SX6NBoVAgQJ6U1MVXOaj8PK2l7WJ3RER9xtqwdhxkhw/edit?usp=sharing"",""ชัยนาท!J136"")"),0)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IFERROR(__xludf.DUMMYFUNCTION("IMPORTRANGE(""https://docs.google.com/spreadsheets/d/1SX6NBoVAgQJ6U1MVXOaj8PK2l7WJ3RER9xtqwdhxkhw/edit?usp=sharing"",""ชัยนาท!J137"")"),0)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IFERROR(__xludf.DUMMYFUNCTION("IMPORTRANGE(""https://docs.google.com/spreadsheets/d/1SX6NBoVAgQJ6U1MVXOaj8PK2l7WJ3RER9xtqwdhxkhw/edit?usp=sharing"",""ชัยนาท!I138"")"),0)</f>
        <v>0</v>
      </c>
      <c r="J213" s="204">
        <f ca="1">IFERROR(__xludf.DUMMYFUNCTION("IMPORTRANGE(""https://docs.google.com/spreadsheets/d/1SX6NBoVAgQJ6U1MVXOaj8PK2l7WJ3RER9xtqwdhxkhw/edit?usp=sharing"",""ชัยนาท!J138"")"),0)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IFERROR(__xludf.DUMMYFUNCTION("IMPORTRANGE(""https://docs.google.com/spreadsheets/d/1SX6NBoVAgQJ6U1MVXOaj8PK2l7WJ3RER9xtqwdhxkhw/edit?usp=sharing"",""ชัยนาท!I140"")"),0)</f>
        <v>0</v>
      </c>
      <c r="J215" s="204">
        <f ca="1">IFERROR(__xludf.DUMMYFUNCTION("IMPORTRANGE(""https://docs.google.com/spreadsheets/d/1SX6NBoVAgQJ6U1MVXOaj8PK2l7WJ3RER9xtqwdhxkhw/edit?usp=sharing"",""ชัยนาท!J140"")"),0)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IFERROR(__xludf.DUMMYFUNCTION("IMPORTRANGE(""https://docs.google.com/spreadsheets/d/1SX6NBoVAgQJ6U1MVXOaj8PK2l7WJ3RER9xtqwdhxkhw/edit?usp=sharing"",""ชัยนาท!I141"")"),0)</f>
        <v>0</v>
      </c>
      <c r="J216" s="204">
        <f ca="1">IFERROR(__xludf.DUMMYFUNCTION("IMPORTRANGE(""https://docs.google.com/spreadsheets/d/1SX6NBoVAgQJ6U1MVXOaj8PK2l7WJ3RER9xtqwdhxkhw/edit?usp=sharing"",""ชัยนาท!J141"")"),0)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IFERROR(__xludf.DUMMYFUNCTION("IMPORTRANGE(""https://docs.google.com/spreadsheets/d/1SX6NBoVAgQJ6U1MVXOaj8PK2l7WJ3RER9xtqwdhxkhw/edit?usp=sharing"",""ชัยนาท!J142"")"),0)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IFERROR(__xludf.DUMMYFUNCTION("IMPORTRANGE(""https://docs.google.com/spreadsheets/d/1SX6NBoVAgQJ6U1MVXOaj8PK2l7WJ3RER9xtqwdhxkhw/edit?usp=sharing"",""ชัยนาท!J143"")"),0)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IFERROR(__xludf.DUMMYFUNCTION("IMPORTRANGE(""https://docs.google.com/spreadsheets/d/1SX6NBoVAgQJ6U1MVXOaj8PK2l7WJ3RER9xtqwdhxkhw/edit?usp=sharing"",""ชัยนาท!I144"")"),13)</f>
        <v>13</v>
      </c>
      <c r="J219" s="268">
        <f ca="1">IFERROR(__xludf.DUMMYFUNCTION("IMPORTRANGE(""https://docs.google.com/spreadsheets/d/1SX6NBoVAgQJ6U1MVXOaj8PK2l7WJ3RER9xtqwdhxkhw/edit?usp=sharing"",""ชัยนาท!J144"")"),13)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IFERROR(__xludf.DUMMYFUNCTION("IMPORTRANGE(""https://docs.google.com/spreadsheets/d/1Yj_ptqi66GCucihVvJfMjLAmec39IyEx_6qawtMGysU/edit?usp=sharing"",""สบก!BS63"")"),19295)</f>
        <v>19295</v>
      </c>
      <c r="N224" s="169">
        <f ca="1">IFERROR(__xludf.DUMMYFUNCTION("IMPORTRANGE(""https://docs.google.com/spreadsheets/d/1Yj_ptqi66GCucihVvJfMjLAmec39IyEx_6qawtMGysU/edit?usp=sharing"",""สบก!BT63"")"),19295)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IFERROR(__xludf.DUMMYFUNCTION("IMPORTRANGE(""https://docs.google.com/spreadsheets/d/1Yj_ptqi66GCucihVvJfMjLAmec39IyEx_6qawtMGysU/edit?usp=sharing"",""สบก!BP63"")"),19295)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IFERROR(__xludf.DUMMYFUNCTION("IMPORTRANGE(""https://docs.google.com/spreadsheets/d/1Yj_ptqi66GCucihVvJfMjLAmec39IyEx_6qawtMGysU/edit?usp=sharing"",""สบก!BQ63"")"),0)</f>
        <v>0</v>
      </c>
      <c r="M228" s="49"/>
      <c r="N228" s="49">
        <f ca="1">IFERROR(__xludf.DUMMYFUNCTION("IMPORTRANGE(""https://docs.google.com/spreadsheets/d/1Yj_ptqi66GCucihVvJfMjLAmec39IyEx_6qawtMGysU/edit?usp=sharing"",""สบก!BU63"")"),0)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IFERROR(__xludf.DUMMYFUNCTION("IMPORTRANGE(""https://docs.google.com/spreadsheets/d/1SX6NBoVAgQJ6U1MVXOaj8PK2l7WJ3RER9xtqwdhxkhw/edit?usp=sharing"",""ชัยนาท!I149"")"),13)</f>
        <v>13</v>
      </c>
      <c r="J229" s="268">
        <f ca="1">IFERROR(__xludf.DUMMYFUNCTION("IMPORTRANGE(""https://docs.google.com/spreadsheets/d/1SX6NBoVAgQJ6U1MVXOaj8PK2l7WJ3RER9xtqwdhxkhw/edit?usp=sharing"",""ชัยนาท!J149"")"),13)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IFERROR(__xludf.DUMMYFUNCTION("IMPORTRANGE(""https://docs.google.com/spreadsheets/d/1SX6NBoVAgQJ6U1MVXOaj8PK2l7WJ3RER9xtqwdhxkhw/edit?usp=sharing"",""ชัยนาท!J151"")"),0)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IFERROR(__xludf.DUMMYFUNCTION("IMPORTRANGE(""https://docs.google.com/spreadsheets/d/1SX6NBoVAgQJ6U1MVXOaj8PK2l7WJ3RER9xtqwdhxkhw/edit?usp=sharing"",""ชัยนาท!J152"")"),1)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IFERROR(__xludf.DUMMYFUNCTION("IMPORTRANGE(""https://docs.google.com/spreadsheets/d/1SX6NBoVAgQJ6U1MVXOaj8PK2l7WJ3RER9xtqwdhxkhw/edit?usp=sharing"",""ชัยนาท!J153"")"),1)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IFERROR(__xludf.DUMMYFUNCTION("IMPORTRANGE(""https://docs.google.com/spreadsheets/d/1SX6NBoVAgQJ6U1MVXOaj8PK2l7WJ3RER9xtqwdhxkhw/edit?usp=sharing"",""ชัยนาท!J154"")"),1)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IFERROR(__xludf.DUMMYFUNCTION("IMPORTRANGE(""https://docs.google.com/spreadsheets/d/1SX6NBoVAgQJ6U1MVXOaj8PK2l7WJ3RER9xtqwdhxkhw/edit?usp=sharing"",""ชัยนาท!I155"")"),13)</f>
        <v>13</v>
      </c>
      <c r="J235" s="189">
        <f ca="1">IFERROR(__xludf.DUMMYFUNCTION("IMPORTRANGE(""https://docs.google.com/spreadsheets/d/1SX6NBoVAgQJ6U1MVXOaj8PK2l7WJ3RER9xtqwdhxkhw/edit?usp=sharing"",""ชัยนาท!J155"")"),13)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IFERROR(__xludf.DUMMYFUNCTION("IMPORTRANGE(""https://docs.google.com/spreadsheets/d/1SX6NBoVAgQJ6U1MVXOaj8PK2l7WJ3RER9xtqwdhxkhw/edit?usp=sharing"",""ชัยนาท!J156"")"),0)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IFERROR(__xludf.DUMMYFUNCTION("IMPORTRANGE(""https://docs.google.com/spreadsheets/d/1SX6NBoVAgQJ6U1MVXOaj8PK2l7WJ3RER9xtqwdhxkhw/edit?usp=sharing"",""ชัยนาท!J157"")"),0)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IFERROR(__xludf.DUMMYFUNCTION("IMPORTRANGE(""https://docs.google.com/spreadsheets/d/1SX6NBoVAgQJ6U1MVXOaj8PK2l7WJ3RER9xtqwdhxkhw/edit?usp=sharing"",""ชัยนาท!I158"")"),0)</f>
        <v>0</v>
      </c>
      <c r="J238" s="268">
        <f ca="1">IFERROR(__xludf.DUMMYFUNCTION("IMPORTRANGE(""https://docs.google.com/spreadsheets/d/1SX6NBoVAgQJ6U1MVXOaj8PK2l7WJ3RER9xtqwdhxkhw/edit?usp=sharing"",""ชัยนาท!J158"")"),0)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IFERROR(__xludf.DUMMYFUNCTION("IMPORTRANGE(""https://docs.google.com/spreadsheets/d/1SX6NBoVAgQJ6U1MVXOaj8PK2l7WJ3RER9xtqwdhxkhw/edit?usp=sharing"",""ชัยนาท!J159"")"),"")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IFERROR(__xludf.DUMMYFUNCTION("IMPORTRANGE(""https://docs.google.com/spreadsheets/d/1SX6NBoVAgQJ6U1MVXOaj8PK2l7WJ3RER9xtqwdhxkhw/edit?usp=sharing"",""ชัยนาท!J161"")"),0)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IFERROR(__xludf.DUMMYFUNCTION("IMPORTRANGE(""https://docs.google.com/spreadsheets/d/1SX6NBoVAgQJ6U1MVXOaj8PK2l7WJ3RER9xtqwdhxkhw/edit?usp=sharing"",""ชัยนาท!J162"")"),0)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IFERROR(__xludf.DUMMYFUNCTION("IMPORTRANGE(""https://docs.google.com/spreadsheets/d/1SX6NBoVAgQJ6U1MVXOaj8PK2l7WJ3RER9xtqwdhxkhw/edit?usp=sharing"",""ชัยนาท!J163"")"),0)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IFERROR(__xludf.DUMMYFUNCTION("IMPORTRANGE(""https://docs.google.com/spreadsheets/d/1SX6NBoVAgQJ6U1MVXOaj8PK2l7WJ3RER9xtqwdhxkhw/edit?usp=sharing"",""ชัยนาท!I164"")"),0)</f>
        <v>0</v>
      </c>
      <c r="J244" s="188">
        <f ca="1">IFERROR(__xludf.DUMMYFUNCTION("IMPORTRANGE(""https://docs.google.com/spreadsheets/d/1SX6NBoVAgQJ6U1MVXOaj8PK2l7WJ3RER9xtqwdhxkhw/edit?usp=sharing"",""ชัยนาท!J164"")"),0)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IFERROR(__xludf.DUMMYFUNCTION("IMPORTRANGE(""https://docs.google.com/spreadsheets/d/1SX6NBoVAgQJ6U1MVXOaj8PK2l7WJ3RER9xtqwdhxkhw/edit?usp=sharing"",""ชัยนาท!J165"")"),0)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IFERROR(__xludf.DUMMYFUNCTION("IMPORTRANGE(""https://docs.google.com/spreadsheets/d/1SX6NBoVAgQJ6U1MVXOaj8PK2l7WJ3RER9xtqwdhxkhw/edit?usp=sharing"",""ชัยนาท!J166"")"),0)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IFERROR(__xludf.DUMMYFUNCTION("IMPORTRANGE(""https://docs.google.com/spreadsheets/d/1SX6NBoVAgQJ6U1MVXOaj8PK2l7WJ3RER9xtqwdhxkhw/edit?usp=sharing"",""ชัยนาท!I169"")"),20)</f>
        <v>20</v>
      </c>
      <c r="J249" s="317">
        <f ca="1">IFERROR(__xludf.DUMMYFUNCTION("IMPORTRANGE(""https://docs.google.com/spreadsheets/d/1SX6NBoVAgQJ6U1MVXOaj8PK2l7WJ3RER9xtqwdhxkhw/edit?usp=sharing"",""ชัยนาท!J169"")"),20)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168">
        <f ca="1">IFERROR(__xludf.DUMMYFUNCTION("IMPORTRANGE(""https://docs.google.com/spreadsheets/d/1Yj_ptqi66GCucihVvJfMjLAmec39IyEx_6qawtMGysU/edit?usp=sharing"",""สบก!CB63"")"),71400)</f>
        <v>71400</v>
      </c>
      <c r="N254" s="169">
        <f ca="1">IFERROR(__xludf.DUMMYFUNCTION("IMPORTRANGE(""https://docs.google.com/spreadsheets/d/1Yj_ptqi66GCucihVvJfMjLAmec39IyEx_6qawtMGysU/edit?usp=sharing"",""สบก!CC63"")"),71400)</f>
        <v>71400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IFERROR(__xludf.DUMMYFUNCTION("IMPORTRANGE(""https://docs.google.com/spreadsheets/d/1Yj_ptqi66GCucihVvJfMjLAmec39IyEx_6qawtMGysU/edit?usp=sharing"",""สบก!BY63"")"),71400)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IFERROR(__xludf.DUMMYFUNCTION("IMPORTRANGE(""https://docs.google.com/spreadsheets/d/1Yj_ptqi66GCucihVvJfMjLAmec39IyEx_6qawtMGysU/edit?usp=sharing"",""สบก!BZ63"")"),0)</f>
        <v>0</v>
      </c>
      <c r="M258" s="49"/>
      <c r="N258" s="49">
        <f ca="1">IFERROR(__xludf.DUMMYFUNCTION("IMPORTRANGE(""https://docs.google.com/spreadsheets/d/1Yj_ptqi66GCucihVvJfMjLAmec39IyEx_6qawtMGysU/edit?usp=sharing"",""สบก!CD63"")"),0)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IFERROR(__xludf.DUMMYFUNCTION("IMPORTRANGE(""https://docs.google.com/spreadsheets/d/1SX6NBoVAgQJ6U1MVXOaj8PK2l7WJ3RER9xtqwdhxkhw/edit?usp=sharing"",""ชัยนาท!J175"")"),0)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IFERROR(__xludf.DUMMYFUNCTION("IMPORTRANGE(""https://docs.google.com/spreadsheets/d/1SX6NBoVAgQJ6U1MVXOaj8PK2l7WJ3RER9xtqwdhxkhw/edit?usp=sharing"",""ชัยนาท!J176"")"),1)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IFERROR(__xludf.DUMMYFUNCTION("IMPORTRANGE(""https://docs.google.com/spreadsheets/d/1SX6NBoVAgQJ6U1MVXOaj8PK2l7WJ3RER9xtqwdhxkhw/edit?usp=sharing"",""ชัยนาท!J177"")"),1)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IFERROR(__xludf.DUMMYFUNCTION("IMPORTRANGE(""https://docs.google.com/spreadsheets/d/1SX6NBoVAgQJ6U1MVXOaj8PK2l7WJ3RER9xtqwdhxkhw/edit?usp=sharing"",""ชัยนาท!J178"")"),1)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IFERROR(__xludf.DUMMYFUNCTION("IMPORTRANGE(""https://docs.google.com/spreadsheets/d/1SX6NBoVAgQJ6U1MVXOaj8PK2l7WJ3RER9xtqwdhxkhw/edit?usp=sharing"",""ชัยนาท!I179"")"),1)</f>
        <v>1</v>
      </c>
      <c r="J264" s="189">
        <f ca="1">IFERROR(__xludf.DUMMYFUNCTION("IMPORTRANGE(""https://docs.google.com/spreadsheets/d/1SX6NBoVAgQJ6U1MVXOaj8PK2l7WJ3RER9xtqwdhxkhw/edit?usp=sharing"",""ชัยนาท!J179"")"),1)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IFERROR(__xludf.DUMMYFUNCTION("IMPORTRANGE(""https://docs.google.com/spreadsheets/d/1SX6NBoVAgQJ6U1MVXOaj8PK2l7WJ3RER9xtqwdhxkhw/edit?usp=sharing"",""ชัยนาท!I180"")"),20)</f>
        <v>20</v>
      </c>
      <c r="J265" s="189">
        <f ca="1">IFERROR(__xludf.DUMMYFUNCTION("IMPORTRANGE(""https://docs.google.com/spreadsheets/d/1SX6NBoVAgQJ6U1MVXOaj8PK2l7WJ3RER9xtqwdhxkhw/edit?usp=sharing"",""ชัยนาท!J180"")"),20)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IFERROR(__xludf.DUMMYFUNCTION("IMPORTRANGE(""https://docs.google.com/spreadsheets/d/1SX6NBoVAgQJ6U1MVXOaj8PK2l7WJ3RER9xtqwdhxkhw/edit?usp=sharing"",""ชัยนาท!I181"")"),20)</f>
        <v>20</v>
      </c>
      <c r="J266" s="189">
        <f ca="1">IFERROR(__xludf.DUMMYFUNCTION("IMPORTRANGE(""https://docs.google.com/spreadsheets/d/1SX6NBoVAgQJ6U1MVXOaj8PK2l7WJ3RER9xtqwdhxkhw/edit?usp=sharing"",""ชัยนาท!J181"")"),20)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IFERROR(__xludf.DUMMYFUNCTION("IMPORTRANGE(""https://docs.google.com/spreadsheets/d/1SX6NBoVAgQJ6U1MVXOaj8PK2l7WJ3RER9xtqwdhxkhw/edit?usp=sharing"",""ชัยนาท!I182"")"),1)</f>
        <v>1</v>
      </c>
      <c r="J267" s="189">
        <f ca="1">IFERROR(__xludf.DUMMYFUNCTION("IMPORTRANGE(""https://docs.google.com/spreadsheets/d/1SX6NBoVAgQJ6U1MVXOaj8PK2l7WJ3RER9xtqwdhxkhw/edit?usp=sharing"",""ชัยนาท!J182"")"),1)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IFERROR(__xludf.DUMMYFUNCTION("IMPORTRANGE(""https://docs.google.com/spreadsheets/d/1SX6NBoVAgQJ6U1MVXOaj8PK2l7WJ3RER9xtqwdhxkhw/edit?usp=sharing"",""ชัยนาท!J183"")"),0)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IFERROR(__xludf.DUMMYFUNCTION("IMPORTRANGE(""https://docs.google.com/spreadsheets/d/1SX6NBoVAgQJ6U1MVXOaj8PK2l7WJ3RER9xtqwdhxkhw/edit?usp=sharing"",""ชัยนาท!J184"")"),0)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IFERROR(__xludf.DUMMYFUNCTION("IMPORTRANGE(""https://docs.google.com/spreadsheets/d/1SX6NBoVAgQJ6U1MVXOaj8PK2l7WJ3RER9xtqwdhxkhw/edit?usp=sharing"",""ชัยนาท!I185"")"),15)</f>
        <v>15</v>
      </c>
      <c r="J270" s="317">
        <f ca="1">IFERROR(__xludf.DUMMYFUNCTION("IMPORTRANGE(""https://docs.google.com/spreadsheets/d/1SX6NBoVAgQJ6U1MVXOaj8PK2l7WJ3RER9xtqwdhxkhw/edit?usp=sharing"",""ชัยนาท!J185"")"),15)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165200</v>
      </c>
      <c r="M271" s="152">
        <f t="shared" ca="1" si="83"/>
        <v>165200</v>
      </c>
      <c r="N271" s="152">
        <f t="shared" ca="1" si="83"/>
        <v>126420</v>
      </c>
      <c r="O271" s="151">
        <f t="shared" ref="O271:O273" ca="1" si="84">IF(L271&gt;0,N271*100/L271,0)</f>
        <v>76.525423728813564</v>
      </c>
      <c r="P271" s="151">
        <f t="shared" ref="P271:P273" ca="1" si="85">IF(M271&gt;0,N271*100/M271,0)</f>
        <v>76.525423728813564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165200</v>
      </c>
      <c r="M273" s="157">
        <f t="shared" ca="1" si="87"/>
        <v>165200</v>
      </c>
      <c r="N273" s="157">
        <f t="shared" ca="1" si="87"/>
        <v>126420</v>
      </c>
      <c r="O273" s="156">
        <f t="shared" ca="1" si="84"/>
        <v>76.525423728813564</v>
      </c>
      <c r="P273" s="156">
        <f t="shared" ca="1" si="85"/>
        <v>76.525423728813564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165200</v>
      </c>
      <c r="M275" s="168">
        <f ca="1">IFERROR(__xludf.DUMMYFUNCTION("IMPORTRANGE(""https://docs.google.com/spreadsheets/d/1Yj_ptqi66GCucihVvJfMjLAmec39IyEx_6qawtMGysU/edit?usp=sharing"",""สบก!CK63"")"),165200)</f>
        <v>165200</v>
      </c>
      <c r="N275" s="169">
        <f ca="1">IFERROR(__xludf.DUMMYFUNCTION("IMPORTRANGE(""https://docs.google.com/spreadsheets/d/1Yj_ptqi66GCucihVvJfMjLAmec39IyEx_6qawtMGysU/edit?usp=sharing"",""สบก!CL63"")"),126420)</f>
        <v>126420</v>
      </c>
      <c r="O275" s="169">
        <f ca="1">IF(L275&gt;0,N275*100/L275,0)</f>
        <v>76.525423728813564</v>
      </c>
      <c r="P275" s="169">
        <f ca="1">IF(M275&gt;0,N275*100/M275,0)</f>
        <v>76.525423728813564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IFERROR(__xludf.DUMMYFUNCTION("IMPORTRANGE(""https://docs.google.com/spreadsheets/d/1Yj_ptqi66GCucihVvJfMjLAmec39IyEx_6qawtMGysU/edit?usp=sharing"",""สบก!CH63"")"),165200)</f>
        <v>165200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IFERROR(__xludf.DUMMYFUNCTION("IMPORTRANGE(""https://docs.google.com/spreadsheets/d/1Yj_ptqi66GCucihVvJfMjLAmec39IyEx_6qawtMGysU/edit?usp=sharing"",""สบก!CI63"")"),0)</f>
        <v>0</v>
      </c>
      <c r="M279" s="49"/>
      <c r="N279" s="49">
        <f ca="1">IFERROR(__xludf.DUMMYFUNCTION("IMPORTRANGE(""https://docs.google.com/spreadsheets/d/1Yj_ptqi66GCucihVvJfMjLAmec39IyEx_6qawtMGysU/edit?usp=sharing"",""สบก!CM63"")"),0)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IFERROR(__xludf.DUMMYFUNCTION("IMPORTRANGE(""https://docs.google.com/spreadsheets/d/1SX6NBoVAgQJ6U1MVXOaj8PK2l7WJ3RER9xtqwdhxkhw/edit?usp=sharing"",""ชัยนาท!J191"")"),0)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IFERROR(__xludf.DUMMYFUNCTION("IMPORTRANGE(""https://docs.google.com/spreadsheets/d/1SX6NBoVAgQJ6U1MVXOaj8PK2l7WJ3RER9xtqwdhxkhw/edit?usp=sharing"",""ชัยนาท!J192"")"),1)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IFERROR(__xludf.DUMMYFUNCTION("IMPORTRANGE(""https://docs.google.com/spreadsheets/d/1SX6NBoVAgQJ6U1MVXOaj8PK2l7WJ3RER9xtqwdhxkhw/edit?usp=sharing"",""ชัยนาท!J193"")"),1)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IFERROR(__xludf.DUMMYFUNCTION("IMPORTRANGE(""https://docs.google.com/spreadsheets/d/1SX6NBoVAgQJ6U1MVXOaj8PK2l7WJ3RER9xtqwdhxkhw/edit?usp=sharing"",""ชัยนาท!J194"")"),1)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IFERROR(__xludf.DUMMYFUNCTION("IMPORTRANGE(""https://docs.google.com/spreadsheets/d/1SX6NBoVAgQJ6U1MVXOaj8PK2l7WJ3RER9xtqwdhxkhw/edit?usp=sharing"",""ชัยนาท!I195"")"),15)</f>
        <v>15</v>
      </c>
      <c r="J285" s="189">
        <f ca="1">IFERROR(__xludf.DUMMYFUNCTION("IMPORTRANGE(""https://docs.google.com/spreadsheets/d/1SX6NBoVAgQJ6U1MVXOaj8PK2l7WJ3RER9xtqwdhxkhw/edit?usp=sharing"",""ชัยนาท!J195"")"),15)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IFERROR(__xludf.DUMMYFUNCTION("IMPORTRANGE(""https://docs.google.com/spreadsheets/d/1SX6NBoVAgQJ6U1MVXOaj8PK2l7WJ3RER9xtqwdhxkhw/edit?usp=sharing"",""ชัยนาท!J196"")"),0)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IFERROR(__xludf.DUMMYFUNCTION("IMPORTRANGE(""https://docs.google.com/spreadsheets/d/1SX6NBoVAgQJ6U1MVXOaj8PK2l7WJ3RER9xtqwdhxkhw/edit?usp=sharing"",""ชัยนาท!J197"")"),0)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IFERROR(__xludf.DUMMYFUNCTION("IMPORTRANGE(""https://docs.google.com/spreadsheets/d/1SX6NBoVAgQJ6U1MVXOaj8PK2l7WJ3RER9xtqwdhxkhw/edit?usp=sharing"",""ชัยนาท!I199"")"),0)</f>
        <v>0</v>
      </c>
      <c r="J289" s="317">
        <f ca="1">IFERROR(__xludf.DUMMYFUNCTION("IMPORTRANGE(""https://docs.google.com/spreadsheets/d/1SX6NBoVAgQJ6U1MVXOaj8PK2l7WJ3RER9xtqwdhxkhw/edit?usp=sharing"",""ชัยนาท!J199"")"),0)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IFERROR(__xludf.DUMMYFUNCTION("IMPORTRANGE(""https://docs.google.com/spreadsheets/d/1Yj_ptqi66GCucihVvJfMjLAmec39IyEx_6qawtMGysU/edit?usp=sharing"",""สบก!CT63"")"),0)</f>
        <v>0</v>
      </c>
      <c r="N294" s="169">
        <f ca="1">IFERROR(__xludf.DUMMYFUNCTION("IMPORTRANGE(""https://docs.google.com/spreadsheets/d/1Yj_ptqi66GCucihVvJfMjLAmec39IyEx_6qawtMGysU/edit?usp=sharing"",""สบก!CU63"")"),0)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IFERROR(__xludf.DUMMYFUNCTION("IMPORTRANGE(""https://docs.google.com/spreadsheets/d/1Yj_ptqi66GCucihVvJfMjLAmec39IyEx_6qawtMGysU/edit?usp=sharing"",""สบก!CR63"")"),0)</f>
        <v>0</v>
      </c>
      <c r="M298" s="49"/>
      <c r="N298" s="49">
        <f ca="1">IFERROR(__xludf.DUMMYFUNCTION("IMPORTRANGE(""https://docs.google.com/spreadsheets/d/1Yj_ptqi66GCucihVvJfMjLAmec39IyEx_6qawtMGysU/edit?usp=sharing"",""สบก!CV63"")"),0)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IFERROR(__xludf.DUMMYFUNCTION("IMPORTRANGE(""https://docs.google.com/spreadsheets/d/1SX6NBoVAgQJ6U1MVXOaj8PK2l7WJ3RER9xtqwdhxkhw/edit?usp=sharing"",""ชัยนาท!J205"")"),0)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IFERROR(__xludf.DUMMYFUNCTION("IMPORTRANGE(""https://docs.google.com/spreadsheets/d/1SX6NBoVAgQJ6U1MVXOaj8PK2l7WJ3RER9xtqwdhxkhw/edit?usp=sharing"",""ชัยนาท!J206"")"),0)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IFERROR(__xludf.DUMMYFUNCTION("IMPORTRANGE(""https://docs.google.com/spreadsheets/d/1SX6NBoVAgQJ6U1MVXOaj8PK2l7WJ3RER9xtqwdhxkhw/edit?usp=sharing"",""ชัยนาท!J207"")"),0)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IFERROR(__xludf.DUMMYFUNCTION("IMPORTRANGE(""https://docs.google.com/spreadsheets/d/1SX6NBoVAgQJ6U1MVXOaj8PK2l7WJ3RER9xtqwdhxkhw/edit?usp=sharing"",""ชัยนาท!J208"")"),0)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IFERROR(__xludf.DUMMYFUNCTION("IMPORTRANGE(""https://docs.google.com/spreadsheets/d/1SX6NBoVAgQJ6U1MVXOaj8PK2l7WJ3RER9xtqwdhxkhw/edit?usp=sharing"",""ชัยนาท!I209"")"),0)</f>
        <v>0</v>
      </c>
      <c r="J304" s="204">
        <f ca="1">IFERROR(__xludf.DUMMYFUNCTION("IMPORTRANGE(""https://docs.google.com/spreadsheets/d/1SX6NBoVAgQJ6U1MVXOaj8PK2l7WJ3RER9xtqwdhxkhw/edit?usp=sharing"",""ชัยนาท!J209"")"),0)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IFERROR(__xludf.DUMMYFUNCTION("IMPORTRANGE(""https://docs.google.com/spreadsheets/d/1SX6NBoVAgQJ6U1MVXOaj8PK2l7WJ3RER9xtqwdhxkhw/edit?usp=sharing"",""ชัยนาท!I211"")"),0)</f>
        <v>0</v>
      </c>
      <c r="J306" s="204">
        <f ca="1">IFERROR(__xludf.DUMMYFUNCTION("IMPORTRANGE(""https://docs.google.com/spreadsheets/d/1SX6NBoVAgQJ6U1MVXOaj8PK2l7WJ3RER9xtqwdhxkhw/edit?usp=sharing"",""ชัยนาท!J211"")"),0)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IFERROR(__xludf.DUMMYFUNCTION("IMPORTRANGE(""https://docs.google.com/spreadsheets/d/1SX6NBoVAgQJ6U1MVXOaj8PK2l7WJ3RER9xtqwdhxkhw/edit?usp=sharing"",""ชัยนาท!J212"")"),0)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IFERROR(__xludf.DUMMYFUNCTION("IMPORTRANGE(""https://docs.google.com/spreadsheets/d/1SX6NBoVAgQJ6U1MVXOaj8PK2l7WJ3RER9xtqwdhxkhw/edit?usp=sharing"",""ชัยนาท!J213"")"),0)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IFERROR(__xludf.DUMMYFUNCTION("IMPORTRANGE(""https://docs.google.com/spreadsheets/d/1SX6NBoVAgQJ6U1MVXOaj8PK2l7WJ3RER9xtqwdhxkhw/edit?usp=sharing"",""ชัยนาท!I214"")"),0)</f>
        <v>0</v>
      </c>
      <c r="J309" s="334">
        <f ca="1">IFERROR(__xludf.DUMMYFUNCTION("IMPORTRANGE(""https://docs.google.com/spreadsheets/d/1SX6NBoVAgQJ6U1MVXOaj8PK2l7WJ3RER9xtqwdhxkhw/edit?usp=sharing"",""ชัยนาท!J214"")"),0)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IFERROR(__xludf.DUMMYFUNCTION("IMPORTRANGE(""https://docs.google.com/spreadsheets/d/1Yj_ptqi66GCucihVvJfMjLAmec39IyEx_6qawtMGysU/edit?usp=sharing"",""สบก!DC63"")"),0)</f>
        <v>0</v>
      </c>
      <c r="N314" s="169">
        <f ca="1">IFERROR(__xludf.DUMMYFUNCTION("IMPORTRANGE(""https://docs.google.com/spreadsheets/d/1Yj_ptqi66GCucihVvJfMjLAmec39IyEx_6qawtMGysU/edit?usp=sharing"",""สบก!DD63"")"),0)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IFERROR(__xludf.DUMMYFUNCTION("IMPORTRANGE(""https://docs.google.com/spreadsheets/d/1Yj_ptqi66GCucihVvJfMjLAmec39IyEx_6qawtMGysU/edit?usp=sharing"",""สบก!DA63"")"),0)</f>
        <v>0</v>
      </c>
      <c r="M318" s="49"/>
      <c r="N318" s="49">
        <f ca="1">IFERROR(__xludf.DUMMYFUNCTION("IMPORTRANGE(""https://docs.google.com/spreadsheets/d/1Yj_ptqi66GCucihVvJfMjLAmec39IyEx_6qawtMGysU/edit?usp=sharing"",""สบก!DE63"")"),0)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IFERROR(__xludf.DUMMYFUNCTION("IMPORTRANGE(""https://docs.google.com/spreadsheets/d/1SX6NBoVAgQJ6U1MVXOaj8PK2l7WJ3RER9xtqwdhxkhw/edit?usp=sharing"",""ชัยนาท!J220"")"),0)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IFERROR(__xludf.DUMMYFUNCTION("IMPORTRANGE(""https://docs.google.com/spreadsheets/d/1SX6NBoVAgQJ6U1MVXOaj8PK2l7WJ3RER9xtqwdhxkhw/edit?usp=sharing"",""ชัยนาท!J221"")"),0)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IFERROR(__xludf.DUMMYFUNCTION("IMPORTRANGE(""https://docs.google.com/spreadsheets/d/1SX6NBoVAgQJ6U1MVXOaj8PK2l7WJ3RER9xtqwdhxkhw/edit?usp=sharing"",""ชัยนาท!J222"")"),0)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IFERROR(__xludf.DUMMYFUNCTION("IMPORTRANGE(""https://docs.google.com/spreadsheets/d/1SX6NBoVAgQJ6U1MVXOaj8PK2l7WJ3RER9xtqwdhxkhw/edit?usp=sharing"",""ชัยนาท!J223"")"),0)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IFERROR(__xludf.DUMMYFUNCTION("IMPORTRANGE(""https://docs.google.com/spreadsheets/d/1SX6NBoVAgQJ6U1MVXOaj8PK2l7WJ3RER9xtqwdhxkhw/edit?usp=sharing"",""ชัยนาท!I224"")"),0)</f>
        <v>0</v>
      </c>
      <c r="J324" s="204">
        <f ca="1">IFERROR(__xludf.DUMMYFUNCTION("IMPORTRANGE(""https://docs.google.com/spreadsheets/d/1SX6NBoVAgQJ6U1MVXOaj8PK2l7WJ3RER9xtqwdhxkhw/edit?usp=sharing"",""ชัยนาท!J224"")"),0)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IFERROR(__xludf.DUMMYFUNCTION("IMPORTRANGE(""https://docs.google.com/spreadsheets/d/1SX6NBoVAgQJ6U1MVXOaj8PK2l7WJ3RER9xtqwdhxkhw/edit?usp=sharing"",""ชัยนาท!J225"")"),0)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IFERROR(__xludf.DUMMYFUNCTION("IMPORTRANGE(""https://docs.google.com/spreadsheets/d/1SX6NBoVAgQJ6U1MVXOaj8PK2l7WJ3RER9xtqwdhxkhw/edit?usp=sharing"",""ชัยนาท!J226"")"),0)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IFERROR(__xludf.DUMMYFUNCTION("IMPORTRANGE(""https://docs.google.com/spreadsheets/d/1SX6NBoVAgQJ6U1MVXOaj8PK2l7WJ3RER9xtqwdhxkhw/edit?usp=sharing"",""ชัยนาท!I228"")"),37)</f>
        <v>37</v>
      </c>
      <c r="J328" s="340">
        <f ca="1">IFERROR(__xludf.DUMMYFUNCTION("IMPORTRANGE(""https://docs.google.com/spreadsheets/d/1SX6NBoVAgQJ6U1MVXOaj8PK2l7WJ3RER9xtqwdhxkhw/edit?usp=sharing"",""ชัยนาท!J228"")"),50)</f>
        <v>50</v>
      </c>
      <c r="K328" s="318">
        <f ca="1">IF(I328&gt;0,J328*100/I328,0)</f>
        <v>135.13513513513513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656100</v>
      </c>
      <c r="M329" s="152">
        <f t="shared" ca="1" si="98"/>
        <v>692500</v>
      </c>
      <c r="N329" s="152">
        <f t="shared" ca="1" si="98"/>
        <v>566553</v>
      </c>
      <c r="O329" s="151">
        <f t="shared" ref="O329:O331" ca="1" si="99">IF(L329&gt;0,N329*100/L329,0)</f>
        <v>86.351623228166432</v>
      </c>
      <c r="P329" s="151">
        <f t="shared" ref="P329:P331" ca="1" si="100">IF(M329&gt;0,N329*100/M329,0)</f>
        <v>81.812707581227443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656100</v>
      </c>
      <c r="M331" s="157">
        <f t="shared" ca="1" si="102"/>
        <v>692500</v>
      </c>
      <c r="N331" s="157">
        <f t="shared" ca="1" si="102"/>
        <v>566553</v>
      </c>
      <c r="O331" s="156">
        <f t="shared" ca="1" si="99"/>
        <v>86.351623228166432</v>
      </c>
      <c r="P331" s="156">
        <f t="shared" ca="1" si="100"/>
        <v>81.812707581227443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509100</v>
      </c>
      <c r="M333" s="168">
        <f ca="1">IFERROR(__xludf.DUMMYFUNCTION("IMPORTRANGE(""https://docs.google.com/spreadsheets/d/1Yj_ptqi66GCucihVvJfMjLAmec39IyEx_6qawtMGysU/edit?usp=sharing"",""สบก!DL63"")"),545500)</f>
        <v>545500</v>
      </c>
      <c r="N333" s="169">
        <f ca="1">IFERROR(__xludf.DUMMYFUNCTION("IMPORTRANGE(""https://docs.google.com/spreadsheets/d/1Yj_ptqi66GCucihVvJfMjLAmec39IyEx_6qawtMGysU/edit?usp=sharing"",""สบก!DM63"")"),427553)</f>
        <v>427553</v>
      </c>
      <c r="O333" s="169">
        <f ca="1">IF(L333&gt;0,N333*100/L333,0)</f>
        <v>83.982125319190729</v>
      </c>
      <c r="P333" s="169">
        <f ca="1">IF(M333&gt;0,N333*100/M333,0)</f>
        <v>78.378185151237403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IFERROR(__xludf.DUMMYFUNCTION("IMPORTRANGE(""https://docs.google.com/spreadsheets/d/1Yj_ptqi66GCucihVvJfMjLAmec39IyEx_6qawtMGysU/edit?usp=sharing"",""สบก!DH63"")"),306000)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IFERROR(__xludf.DUMMYFUNCTION("IMPORTRANGE(""https://docs.google.com/spreadsheets/d/1Yj_ptqi66GCucihVvJfMjLAmec39IyEx_6qawtMGysU/edit?usp=sharing"",""สบก!DI63"")"),203100)</f>
        <v>203100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IFERROR(__xludf.DUMMYFUNCTION("IMPORTRANGE(""https://docs.google.com/spreadsheets/d/1Yj_ptqi66GCucihVvJfMjLAmec39IyEx_6qawtMGysU/edit?usp=sharing"",""สบก!DJ63"")"),147000)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IFERROR(__xludf.DUMMYFUNCTION("IMPORTRANGE(""https://docs.google.com/spreadsheets/d/1Yj_ptqi66GCucihVvJfMjLAmec39IyEx_6qawtMGysU/edit?usp=sharing"",""สบก!DN63"")"),139000)</f>
        <v>139000</v>
      </c>
      <c r="O337" s="49">
        <f ca="1">IF(L337&gt;0,N337*100/L337,0)</f>
        <v>94.557823129251702</v>
      </c>
      <c r="P337" s="49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IFERROR(__xludf.DUMMYFUNCTION("IMPORTRANGE(""https://docs.google.com/spreadsheets/d/1SX6NBoVAgQJ6U1MVXOaj8PK2l7WJ3RER9xtqwdhxkhw/edit?usp=sharing"",""ชัยนาท!I234"")"),0)</f>
        <v>0</v>
      </c>
      <c r="J339" s="188">
        <f ca="1">IFERROR(__xludf.DUMMYFUNCTION("IMPORTRANGE(""https://docs.google.com/spreadsheets/d/1SX6NBoVAgQJ6U1MVXOaj8PK2l7WJ3RER9xtqwdhxkhw/edit?usp=sharing"",""ชัยนาท!J234"")"),35)</f>
        <v>35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IFERROR(__xludf.DUMMYFUNCTION("IMPORTRANGE(""https://docs.google.com/spreadsheets/d/1SX6NBoVAgQJ6U1MVXOaj8PK2l7WJ3RER9xtqwdhxkhw/edit?usp=sharing"",""ชัยนาท!I235"")"),135)</f>
        <v>135</v>
      </c>
      <c r="J340" s="188">
        <f ca="1">IFERROR(__xludf.DUMMYFUNCTION("IMPORTRANGE(""https://docs.google.com/spreadsheets/d/1SX6NBoVAgQJ6U1MVXOaj8PK2l7WJ3RER9xtqwdhxkhw/edit?usp=sharing"",""ชัยนาท!J235"")"),375.74)</f>
        <v>375.74</v>
      </c>
      <c r="K340" s="343">
        <f t="shared" ca="1" si="103"/>
        <v>278.3259259259259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IFERROR(__xludf.DUMMYFUNCTION("IMPORTRANGE(""https://docs.google.com/spreadsheets/d/1SX6NBoVAgQJ6U1MVXOaj8PK2l7WJ3RER9xtqwdhxkhw/edit?usp=sharing"",""ชัยนาท!I236"")"),37)</f>
        <v>37</v>
      </c>
      <c r="J341" s="188">
        <f ca="1">IFERROR(__xludf.DUMMYFUNCTION("IMPORTRANGE(""https://docs.google.com/spreadsheets/d/1SX6NBoVAgQJ6U1MVXOaj8PK2l7WJ3RER9xtqwdhxkhw/edit?usp=sharing"",""ชัยนาท!J236"")"),68)</f>
        <v>68</v>
      </c>
      <c r="K341" s="343">
        <f t="shared" ca="1" si="103"/>
        <v>183.78378378378378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IFERROR(__xludf.DUMMYFUNCTION("IMPORTRANGE(""https://docs.google.com/spreadsheets/d/1SX6NBoVAgQJ6U1MVXOaj8PK2l7WJ3RER9xtqwdhxkhw/edit?usp=sharing"",""ชัยนาท!I237"")"),0)</f>
        <v>0</v>
      </c>
      <c r="J342" s="188">
        <f ca="1">IFERROR(__xludf.DUMMYFUNCTION("IMPORTRANGE(""https://docs.google.com/spreadsheets/d/1SX6NBoVAgQJ6U1MVXOaj8PK2l7WJ3RER9xtqwdhxkhw/edit?usp=sharing"",""ชัยนาท!J237"")"),867.17)</f>
        <v>867.17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IFERROR(__xludf.DUMMYFUNCTION("IMPORTRANGE(""https://docs.google.com/spreadsheets/d/1SX6NBoVAgQJ6U1MVXOaj8PK2l7WJ3RER9xtqwdhxkhw/edit?usp=sharing"",""ชัยนาท!I238"")"),37)</f>
        <v>37</v>
      </c>
      <c r="J343" s="188">
        <f ca="1">IFERROR(__xludf.DUMMYFUNCTION("IMPORTRANGE(""https://docs.google.com/spreadsheets/d/1SX6NBoVAgQJ6U1MVXOaj8PK2l7WJ3RER9xtqwdhxkhw/edit?usp=sharing"",""ชัยนาท!J238"")"),0)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IFERROR(__xludf.DUMMYFUNCTION("IMPORTRANGE(""https://docs.google.com/spreadsheets/d/1SX6NBoVAgQJ6U1MVXOaj8PK2l7WJ3RER9xtqwdhxkhw/edit?usp=sharing"",""ชัยนาท!I239"")"),0)</f>
        <v>0</v>
      </c>
      <c r="J344" s="188">
        <f ca="1">IFERROR(__xludf.DUMMYFUNCTION("IMPORTRANGE(""https://docs.google.com/spreadsheets/d/1SX6NBoVAgQJ6U1MVXOaj8PK2l7WJ3RER9xtqwdhxkhw/edit?usp=sharing"",""ชัยนาท!J239"")"),0)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IFERROR(__xludf.DUMMYFUNCTION("IMPORTRANGE(""https://docs.google.com/spreadsheets/d/1SX6NBoVAgQJ6U1MVXOaj8PK2l7WJ3RER9xtqwdhxkhw/edit?usp=sharing"",""ชัยนาท!I240"")"),37)</f>
        <v>37</v>
      </c>
      <c r="J345" s="188">
        <f ca="1">IFERROR(__xludf.DUMMYFUNCTION("IMPORTRANGE(""https://docs.google.com/spreadsheets/d/1SX6NBoVAgQJ6U1MVXOaj8PK2l7WJ3RER9xtqwdhxkhw/edit?usp=sharing"",""ชัยนาท!J240"")"),50)</f>
        <v>50</v>
      </c>
      <c r="K345" s="343">
        <f t="shared" ca="1" si="103"/>
        <v>135.13513513513513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IFERROR(__xludf.DUMMYFUNCTION("IMPORTRANGE(""https://docs.google.com/spreadsheets/d/1SX6NBoVAgQJ6U1MVXOaj8PK2l7WJ3RER9xtqwdhxkhw/edit?usp=sharing"",""ชัยนาท!I241"")"),0)</f>
        <v>0</v>
      </c>
      <c r="J346" s="188">
        <f ca="1">IFERROR(__xludf.DUMMYFUNCTION("IMPORTRANGE(""https://docs.google.com/spreadsheets/d/1SX6NBoVAgQJ6U1MVXOaj8PK2l7WJ3RER9xtqwdhxkhw/edit?usp=sharing"",""ชัยนาท!J241"")"),679.17)</f>
        <v>679.17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IFERROR(__xludf.DUMMYFUNCTION("IMPORTRANGE(""https://docs.google.com/spreadsheets/d/1SX6NBoVAgQJ6U1MVXOaj8PK2l7WJ3RER9xtqwdhxkhw/edit?usp=sharing"",""ชัยนาท!L242"")"),833674)</f>
        <v>833674</v>
      </c>
      <c r="M347" s="358"/>
      <c r="N347" s="358">
        <f ca="1">IFERROR(__xludf.DUMMYFUNCTION("IMPORTRANGE(""https://docs.google.com/spreadsheets/d/1SX6NBoVAgQJ6U1MVXOaj8PK2l7WJ3RER9xtqwdhxkhw/edit?usp=sharing"",""ชัยนาท!M242"")"),723170)</f>
        <v>723170</v>
      </c>
      <c r="O347" s="358">
        <f ca="1">+IF(L347&gt;0,N347*100/L347,0)</f>
        <v>86.744938669072084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IFERROR(__xludf.DUMMYFUNCTION("IMPORTRANGE(""https://docs.google.com/spreadsheets/d/1SX6NBoVAgQJ6U1MVXOaj8PK2l7WJ3RER9xtqwdhxkhw/edit?usp=sharing"",""ชัยนาท!I244"")"),10)</f>
        <v>10</v>
      </c>
      <c r="J349" s="371">
        <f ca="1">IFERROR(__xludf.DUMMYFUNCTION("IMPORTRANGE(""https://docs.google.com/spreadsheets/d/1SX6NBoVAgQJ6U1MVXOaj8PK2l7WJ3RER9xtqwdhxkhw/edit?usp=sharing"",""ชัยนาท!J244"")"),10)</f>
        <v>10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IFERROR(__xludf.DUMMYFUNCTION("IMPORTRANGE(""https://docs.google.com/spreadsheets/d/1SX6NBoVAgQJ6U1MVXOaj8PK2l7WJ3RER9xtqwdhxkhw/edit?usp=sharing"",""ชัยนาท!L244"")"),49720)</f>
        <v>49720</v>
      </c>
      <c r="M349" s="373"/>
      <c r="N349" s="373">
        <f ca="1">IFERROR(__xludf.DUMMYFUNCTION("IMPORTRANGE(""https://docs.google.com/spreadsheets/d/1SX6NBoVAgQJ6U1MVXOaj8PK2l7WJ3RER9xtqwdhxkhw/edit?usp=sharing"",""ชัยนาท!M244"")"),40415)</f>
        <v>40415</v>
      </c>
      <c r="O349" s="373">
        <f ca="1">+IF(L349&gt;0,N349*100/L349,0)</f>
        <v>81.285197103781172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IFERROR(__xludf.DUMMYFUNCTION("IMPORTRANGE(""https://docs.google.com/spreadsheets/d/1SX6NBoVAgQJ6U1MVXOaj8PK2l7WJ3RER9xtqwdhxkhw/edit?usp=sharing"",""ชัยนาท!I245"")"),10)</f>
        <v>10</v>
      </c>
      <c r="J350" s="371">
        <f ca="1">IFERROR(__xludf.DUMMYFUNCTION("IMPORTRANGE(""https://docs.google.com/spreadsheets/d/1SX6NBoVAgQJ6U1MVXOaj8PK2l7WJ3RER9xtqwdhxkhw/edit?usp=sharing"",""ชัยนาท!J245"")"),10)</f>
        <v>10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IFERROR(__xludf.DUMMYFUNCTION("IMPORTRANGE(""https://docs.google.com/spreadsheets/d/1SX6NBoVAgQJ6U1MVXOaj8PK2l7WJ3RER9xtqwdhxkhw/edit?usp=sharing"",""ชัยนาท!L246"")"),0)</f>
        <v>0</v>
      </c>
      <c r="M351" s="164"/>
      <c r="N351" s="164">
        <f ca="1">IFERROR(__xludf.DUMMYFUNCTION("IMPORTRANGE(""https://docs.google.com/spreadsheets/d/1SX6NBoVAgQJ6U1MVXOaj8PK2l7WJ3RER9xtqwdhxkhw/edit?usp=sharing"",""ชัยนาท!M246"")"),0)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IFERROR(__xludf.DUMMYFUNCTION("IMPORTRANGE(""https://docs.google.com/spreadsheets/d/1SX6NBoVAgQJ6U1MVXOaj8PK2l7WJ3RER9xtqwdhxkhw/edit?usp=sharing"",""ชัยนาท!L247"")"),49720)</f>
        <v>49720</v>
      </c>
      <c r="M352" s="165"/>
      <c r="N352" s="164">
        <f ca="1">IFERROR(__xludf.DUMMYFUNCTION("IMPORTRANGE(""https://docs.google.com/spreadsheets/d/1SX6NBoVAgQJ6U1MVXOaj8PK2l7WJ3RER9xtqwdhxkhw/edit?usp=sharing"",""ชัยนาท!M247"")"),40415)</f>
        <v>40415</v>
      </c>
      <c r="O352" s="165">
        <f t="shared" ca="1" si="105"/>
        <v>81.285197103781172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IFERROR(__xludf.DUMMYFUNCTION("IMPORTRANGE(""https://docs.google.com/spreadsheets/d/1SX6NBoVAgQJ6U1MVXOaj8PK2l7WJ3RER9xtqwdhxkhw/edit?usp=sharing"",""ชัยนาท!L248"")"),0)</f>
        <v>0</v>
      </c>
      <c r="M353" s="169"/>
      <c r="N353" s="169">
        <f ca="1">IFERROR(__xludf.DUMMYFUNCTION("IMPORTRANGE(""https://docs.google.com/spreadsheets/d/1SX6NBoVAgQJ6U1MVXOaj8PK2l7WJ3RER9xtqwdhxkhw/edit?usp=sharing"",""ชัยนาท!M248"")"),0)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IFERROR(__xludf.DUMMYFUNCTION("IMPORTRANGE(""https://docs.google.com/spreadsheets/d/1SX6NBoVAgQJ6U1MVXOaj8PK2l7WJ3RER9xtqwdhxkhw/edit?usp=sharing"",""ชัยนาท!L249"")"),49720)</f>
        <v>49720</v>
      </c>
      <c r="M354" s="169"/>
      <c r="N354" s="168">
        <f ca="1">IFERROR(__xludf.DUMMYFUNCTION("IMPORTRANGE(""https://docs.google.com/spreadsheets/d/1SX6NBoVAgQJ6U1MVXOaj8PK2l7WJ3RER9xtqwdhxkhw/edit?usp=sharing"",""ชัยนาท!M249"")"),40415)</f>
        <v>40415</v>
      </c>
      <c r="O354" s="169">
        <f t="shared" ca="1" si="105"/>
        <v>81.285197103781172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IFERROR(__xludf.DUMMYFUNCTION("IMPORTRANGE(""https://docs.google.com/spreadsheets/d/1SX6NBoVAgQJ6U1MVXOaj8PK2l7WJ3RER9xtqwdhxkhw/edit?usp=sharing"",""ชัยนาท!M250"")"),16200)</f>
        <v>16200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IFERROR(__xludf.DUMMYFUNCTION("IMPORTRANGE(""https://docs.google.com/spreadsheets/d/1SX6NBoVAgQJ6U1MVXOaj8PK2l7WJ3RER9xtqwdhxkhw/edit?usp=sharing"",""ชัยนาท!M251"")"),22000)</f>
        <v>22000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IFERROR(__xludf.DUMMYFUNCTION("IMPORTRANGE(""https://docs.google.com/spreadsheets/d/1SX6NBoVAgQJ6U1MVXOaj8PK2l7WJ3RER9xtqwdhxkhw/edit?usp=sharing"",""ชัยนาท!M252"")"),0)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IFERROR(__xludf.DUMMYFUNCTION("IMPORTRANGE(""https://docs.google.com/spreadsheets/d/1SX6NBoVAgQJ6U1MVXOaj8PK2l7WJ3RER9xtqwdhxkhw/edit?usp=sharing"",""ชัยนาท!M253"")"),2215)</f>
        <v>2215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IFERROR(__xludf.DUMMYFUNCTION("IMPORTRANGE(""https://docs.google.com/spreadsheets/d/1SX6NBoVAgQJ6U1MVXOaj8PK2l7WJ3RER9xtqwdhxkhw/edit?usp=sharing"",""ชัยนาท!J255"")"),0)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IFERROR(__xludf.DUMMYFUNCTION("IMPORTRANGE(""https://docs.google.com/spreadsheets/d/1SX6NBoVAgQJ6U1MVXOaj8PK2l7WJ3RER9xtqwdhxkhw/edit?usp=sharing"",""ชัยนาท!J256"")"),1)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IFERROR(__xludf.DUMMYFUNCTION("IMPORTRANGE(""https://docs.google.com/spreadsheets/d/1SX6NBoVAgQJ6U1MVXOaj8PK2l7WJ3RER9xtqwdhxkhw/edit?usp=sharing"",""ชัยนาท!J257"")"),1)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IFERROR(__xludf.DUMMYFUNCTION("IMPORTRANGE(""https://docs.google.com/spreadsheets/d/1SX6NBoVAgQJ6U1MVXOaj8PK2l7WJ3RER9xtqwdhxkhw/edit?usp=sharing"",""ชัยนาท!J258"")"),1)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IFERROR(__xludf.DUMMYFUNCTION("IMPORTRANGE(""https://docs.google.com/spreadsheets/d/1SX6NBoVAgQJ6U1MVXOaj8PK2l7WJ3RER9xtqwdhxkhw/edit?usp=sharing"",""ชัยนาท!J166"")"),0)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IFERROR(__xludf.DUMMYFUNCTION("IMPORTRANGE(""https://docs.google.com/spreadsheets/d/1SX6NBoVAgQJ6U1MVXOaj8PK2l7WJ3RER9xtqwdhxkhw/edit?usp=sharing"",""ชัยนาท!J166"")"),0)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IFERROR(__xludf.DUMMYFUNCTION("IMPORTRANGE(""https://docs.google.com/spreadsheets/d/1SX6NBoVAgQJ6U1MVXOaj8PK2l7WJ3RER9xtqwdhxkhw/edit?usp=sharing"",""ชัยนาท!J166"")"),0)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IFERROR(__xludf.DUMMYFUNCTION("IMPORTRANGE(""https://docs.google.com/spreadsheets/d/1SX6NBoVAgQJ6U1MVXOaj8PK2l7WJ3RER9xtqwdhxkhw/edit?usp=sharing"",""ชัยนาท!J166"")"),0)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IFERROR(__xludf.DUMMYFUNCTION("IMPORTRANGE(""https://docs.google.com/spreadsheets/d/1SX6NBoVAgQJ6U1MVXOaj8PK2l7WJ3RER9xtqwdhxkhw/edit?usp=sharing"",""ชัยนาท!I263"")"),10)</f>
        <v>10</v>
      </c>
      <c r="J368" s="188">
        <f ca="1">IFERROR(__xludf.DUMMYFUNCTION("IMPORTRANGE(""https://docs.google.com/spreadsheets/d/1SX6NBoVAgQJ6U1MVXOaj8PK2l7WJ3RER9xtqwdhxkhw/edit?usp=sharing"",""ชัยนาท!J263"")"),10)</f>
        <v>10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IFERROR(__xludf.DUMMYFUNCTION("IMPORTRANGE(""https://docs.google.com/spreadsheets/d/1SX6NBoVAgQJ6U1MVXOaj8PK2l7WJ3RER9xtqwdhxkhw/edit?usp=sharing"",""ชัยนาท!I164"")"),0)</f>
        <v>0</v>
      </c>
      <c r="J369" s="204">
        <f ca="1">IFERROR(__xludf.DUMMYFUNCTION("IMPORTRANGE(""https://docs.google.com/spreadsheets/d/1SX6NBoVAgQJ6U1MVXOaj8PK2l7WJ3RER9xtqwdhxkhw/edit?usp=sharing"",""ชัยนาท!J164"")"),0)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IFERROR(__xludf.DUMMYFUNCTION("IMPORTRANGE(""https://docs.google.com/spreadsheets/d/1SX6NBoVAgQJ6U1MVXOaj8PK2l7WJ3RER9xtqwdhxkhw/edit?usp=sharing"",""ชัยนาท!I265"")"),10)</f>
        <v>10</v>
      </c>
      <c r="J370" s="204">
        <f ca="1">IFERROR(__xludf.DUMMYFUNCTION("IMPORTRANGE(""https://docs.google.com/spreadsheets/d/1SX6NBoVAgQJ6U1MVXOaj8PK2l7WJ3RER9xtqwdhxkhw/edit?usp=sharing"",""ชัยนาท!J265"")"),10)</f>
        <v>10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IFERROR(__xludf.DUMMYFUNCTION("IMPORTRANGE(""https://docs.google.com/spreadsheets/d/1SX6NBoVAgQJ6U1MVXOaj8PK2l7WJ3RER9xtqwdhxkhw/edit?usp=sharing"",""ชัยนาท!I164"")"),0)</f>
        <v>0</v>
      </c>
      <c r="J371" s="189">
        <f ca="1">IFERROR(__xludf.DUMMYFUNCTION("IMPORTRANGE(""https://docs.google.com/spreadsheets/d/1SX6NBoVAgQJ6U1MVXOaj8PK2l7WJ3RER9xtqwdhxkhw/edit?usp=sharing"",""ชัยนาท!J164"")"),0)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IFERROR(__xludf.DUMMYFUNCTION("IMPORTRANGE(""https://docs.google.com/spreadsheets/d/1SX6NBoVAgQJ6U1MVXOaj8PK2l7WJ3RER9xtqwdhxkhw/edit?usp=sharing"",""ชัยนาท!I267"")"),10)</f>
        <v>10</v>
      </c>
      <c r="J372" s="189">
        <f ca="1">IFERROR(__xludf.DUMMYFUNCTION("IMPORTRANGE(""https://docs.google.com/spreadsheets/d/1SX6NBoVAgQJ6U1MVXOaj8PK2l7WJ3RER9xtqwdhxkhw/edit?usp=sharing"",""ชัยนาท!J267"")"),10)</f>
        <v>10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IFERROR(__xludf.DUMMYFUNCTION("IMPORTRANGE(""https://docs.google.com/spreadsheets/d/1SX6NBoVAgQJ6U1MVXOaj8PK2l7WJ3RER9xtqwdhxkhw/edit?usp=sharing"",""ชัยนาท!I164"")"),0)</f>
        <v>0</v>
      </c>
      <c r="J373" s="204">
        <f ca="1">IFERROR(__xludf.DUMMYFUNCTION("IMPORTRANGE(""https://docs.google.com/spreadsheets/d/1SX6NBoVAgQJ6U1MVXOaj8PK2l7WJ3RER9xtqwdhxkhw/edit?usp=sharing"",""ชัยนาท!J164"")"),0)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IFERROR(__xludf.DUMMYFUNCTION("IMPORTRANGE(""https://docs.google.com/spreadsheets/d/1SX6NBoVAgQJ6U1MVXOaj8PK2l7WJ3RER9xtqwdhxkhw/edit?usp=sharing"",""ชัยนาท!I164"")"),0)</f>
        <v>0</v>
      </c>
      <c r="J374" s="188">
        <f ca="1">IFERROR(__xludf.DUMMYFUNCTION("IMPORTRANGE(""https://docs.google.com/spreadsheets/d/1SX6NBoVAgQJ6U1MVXOaj8PK2l7WJ3RER9xtqwdhxkhw/edit?usp=sharing"",""ชัยนาท!J164"")"),0)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IFERROR(__xludf.DUMMYFUNCTION("IMPORTRANGE(""https://docs.google.com/spreadsheets/d/1SX6NBoVAgQJ6U1MVXOaj8PK2l7WJ3RER9xtqwdhxkhw/edit?usp=sharing"",""ชัยนาท!I270"")"),10)</f>
        <v>10</v>
      </c>
      <c r="J375" s="188">
        <f ca="1">IFERROR(__xludf.DUMMYFUNCTION("IMPORTRANGE(""https://docs.google.com/spreadsheets/d/1SX6NBoVAgQJ6U1MVXOaj8PK2l7WJ3RER9xtqwdhxkhw/edit?usp=sharing"",""ชัยนาท!J270"")"),10)</f>
        <v>10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IFERROR(__xludf.DUMMYFUNCTION("IMPORTRANGE(""https://docs.google.com/spreadsheets/d/1SX6NBoVAgQJ6U1MVXOaj8PK2l7WJ3RER9xtqwdhxkhw/edit?usp=sharing"",""ชัยนาท!I271"")"),10)</f>
        <v>10</v>
      </c>
      <c r="J376" s="189">
        <f ca="1">IFERROR(__xludf.DUMMYFUNCTION("IMPORTRANGE(""https://docs.google.com/spreadsheets/d/1SX6NBoVAgQJ6U1MVXOaj8PK2l7WJ3RER9xtqwdhxkhw/edit?usp=sharing"",""ชัยนาท!J271"")"),10)</f>
        <v>10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IFERROR(__xludf.DUMMYFUNCTION("IMPORTRANGE(""https://docs.google.com/spreadsheets/d/1SX6NBoVAgQJ6U1MVXOaj8PK2l7WJ3RER9xtqwdhxkhw/edit?usp=sharing"",""ชัยนาท!I272"")"),0)</f>
        <v>0</v>
      </c>
      <c r="J377" s="204">
        <f ca="1">IFERROR(__xludf.DUMMYFUNCTION("IMPORTRANGE(""https://docs.google.com/spreadsheets/d/1SX6NBoVAgQJ6U1MVXOaj8PK2l7WJ3RER9xtqwdhxkhw/edit?usp=sharing"",""ชัยนาท!J272"")"),0)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IFERROR(__xludf.DUMMYFUNCTION("IMPORTRANGE(""https://docs.google.com/spreadsheets/d/1SX6NBoVAgQJ6U1MVXOaj8PK2l7WJ3RER9xtqwdhxkhw/edit?usp=sharing"",""ชัยนาท!J273"")"),0)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IFERROR(__xludf.DUMMYFUNCTION("IMPORTRANGE(""https://docs.google.com/spreadsheets/d/1SX6NBoVAgQJ6U1MVXOaj8PK2l7WJ3RER9xtqwdhxkhw/edit?usp=sharing"",""ชัยนาท!J274"")"),0)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IFERROR(__xludf.DUMMYFUNCTION("IMPORTRANGE(""https://docs.google.com/spreadsheets/d/1SX6NBoVAgQJ6U1MVXOaj8PK2l7WJ3RER9xtqwdhxkhw/edit?usp=sharing"",""ชัยนาท!I275"")"),200)</f>
        <v>200</v>
      </c>
      <c r="J380" s="371">
        <f ca="1">IFERROR(__xludf.DUMMYFUNCTION("IMPORTRANGE(""https://docs.google.com/spreadsheets/d/1SX6NBoVAgQJ6U1MVXOaj8PK2l7WJ3RER9xtqwdhxkhw/edit?usp=sharing"",""ชัยนาท!J275"")"),200)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IFERROR(__xludf.DUMMYFUNCTION("IMPORTRANGE(""https://docs.google.com/spreadsheets/d/1SX6NBoVAgQJ6U1MVXOaj8PK2l7WJ3RER9xtqwdhxkhw/edit?usp=sharing"",""ชัยนาท!L275"")"),207560)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IFERROR(__xludf.DUMMYFUNCTION("IMPORTRANGE(""https://docs.google.com/spreadsheets/d/1SX6NBoVAgQJ6U1MVXOaj8PK2l7WJ3RER9xtqwdhxkhw/edit?usp=sharing"",""ชัยนาท!M275"")"),202670)</f>
        <v>202670</v>
      </c>
      <c r="O380" s="373">
        <f ca="1">+IF(L380&gt;0,N380*100/L380,0)</f>
        <v>97.644054731162072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IFERROR(__xludf.DUMMYFUNCTION("IMPORTRANGE(""https://docs.google.com/spreadsheets/d/1SX6NBoVAgQJ6U1MVXOaj8PK2l7WJ3RER9xtqwdhxkhw/edit?usp=sharing"",""ชัยนาท!I276"")"),20)</f>
        <v>20</v>
      </c>
      <c r="J381" s="371">
        <f ca="1">IFERROR(__xludf.DUMMYFUNCTION("IMPORTRANGE(""https://docs.google.com/spreadsheets/d/1SX6NBoVAgQJ6U1MVXOaj8PK2l7WJ3RER9xtqwdhxkhw/edit?usp=sharing"",""ชัยนาท!J276"")"),20)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IFERROR(__xludf.DUMMYFUNCTION("IMPORTRANGE(""https://docs.google.com/spreadsheets/d/1SX6NBoVAgQJ6U1MVXOaj8PK2l7WJ3RER9xtqwdhxkhw/edit?usp=sharing"",""ชัยนาท!L277"")"),0)</f>
        <v>0</v>
      </c>
      <c r="M382" s="164"/>
      <c r="N382" s="164">
        <f ca="1">IFERROR(__xludf.DUMMYFUNCTION("IMPORTRANGE(""https://docs.google.com/spreadsheets/d/1SX6NBoVAgQJ6U1MVXOaj8PK2l7WJ3RER9xtqwdhxkhw/edit?usp=sharing"",""ชัยนาท!M277"")"),0)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IFERROR(__xludf.DUMMYFUNCTION("IMPORTRANGE(""https://docs.google.com/spreadsheets/d/1SX6NBoVAgQJ6U1MVXOaj8PK2l7WJ3RER9xtqwdhxkhw/edit?usp=sharing"",""ชัยนาท!L278"")"),207560)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IFERROR(__xludf.DUMMYFUNCTION("IMPORTRANGE(""https://docs.google.com/spreadsheets/d/1SX6NBoVAgQJ6U1MVXOaj8PK2l7WJ3RER9xtqwdhxkhw/edit?usp=sharing"",""ชัยนาท!M278"")"),202670)</f>
        <v>202670</v>
      </c>
      <c r="O383" s="165">
        <f t="shared" ca="1" si="109"/>
        <v>97.644054731162072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IFERROR(__xludf.DUMMYFUNCTION("IMPORTRANGE(""https://docs.google.com/spreadsheets/d/1SX6NBoVAgQJ6U1MVXOaj8PK2l7WJ3RER9xtqwdhxkhw/edit?usp=sharing"",""ชัยนาท!L279"")"),0)</f>
        <v>0</v>
      </c>
      <c r="M384" s="169"/>
      <c r="N384" s="169">
        <f ca="1">IFERROR(__xludf.DUMMYFUNCTION("IMPORTRANGE(""https://docs.google.com/spreadsheets/d/1SX6NBoVAgQJ6U1MVXOaj8PK2l7WJ3RER9xtqwdhxkhw/edit?usp=sharing"",""ชัยนาท!M279"")"),0)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IFERROR(__xludf.DUMMYFUNCTION("IMPORTRANGE(""https://docs.google.com/spreadsheets/d/1SX6NBoVAgQJ6U1MVXOaj8PK2l7WJ3RER9xtqwdhxkhw/edit?usp=sharing"",""ชัยนาท!L280"")"),207560)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IFERROR(__xludf.DUMMYFUNCTION("IMPORTRANGE(""https://docs.google.com/spreadsheets/d/1SX6NBoVAgQJ6U1MVXOaj8PK2l7WJ3RER9xtqwdhxkhw/edit?usp=sharing"",""ชัยนาท!M280"")"),202670)</f>
        <v>202670</v>
      </c>
      <c r="O385" s="169">
        <f t="shared" ca="1" si="109"/>
        <v>97.644054731162072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IFERROR(__xludf.DUMMYFUNCTION("IMPORTRANGE(""https://docs.google.com/spreadsheets/d/1SX6NBoVAgQJ6U1MVXOaj8PK2l7WJ3RER9xtqwdhxkhw/edit?usp=sharing"",""ชัยนาท!M281"")"),58800)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IFERROR(__xludf.DUMMYFUNCTION("IMPORTRANGE(""https://docs.google.com/spreadsheets/d/1SX6NBoVAgQJ6U1MVXOaj8PK2l7WJ3RER9xtqwdhxkhw/edit?usp=sharing"",""ชัยนาท!M282"")"),125000)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IFERROR(__xludf.DUMMYFUNCTION("IMPORTRANGE(""https://docs.google.com/spreadsheets/d/1SX6NBoVAgQJ6U1MVXOaj8PK2l7WJ3RER9xtqwdhxkhw/edit?usp=sharing"",""ชัยนาท!M283"")"),0)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IFERROR(__xludf.DUMMYFUNCTION("IMPORTRANGE(""https://docs.google.com/spreadsheets/d/1SX6NBoVAgQJ6U1MVXOaj8PK2l7WJ3RER9xtqwdhxkhw/edit?usp=sharing"",""ชัยนาท!M284"")"),18870)</f>
        <v>18870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IFERROR(__xludf.DUMMYFUNCTION("IMPORTRANGE(""https://docs.google.com/spreadsheets/d/1SX6NBoVAgQJ6U1MVXOaj8PK2l7WJ3RER9xtqwdhxkhw/edit?usp=sharing"",""ชัยนาท!J286"")"),0)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IFERROR(__xludf.DUMMYFUNCTION("IMPORTRANGE(""https://docs.google.com/spreadsheets/d/1SX6NBoVAgQJ6U1MVXOaj8PK2l7WJ3RER9xtqwdhxkhw/edit?usp=sharing"",""ชัยนาท!J287"")"),1)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IFERROR(__xludf.DUMMYFUNCTION("IMPORTRANGE(""https://docs.google.com/spreadsheets/d/1SX6NBoVAgQJ6U1MVXOaj8PK2l7WJ3RER9xtqwdhxkhw/edit?usp=sharing"",""ชัยนาท!J288"")"),1)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IFERROR(__xludf.DUMMYFUNCTION("IMPORTRANGE(""https://docs.google.com/spreadsheets/d/1SX6NBoVAgQJ6U1MVXOaj8PK2l7WJ3RER9xtqwdhxkhw/edit?usp=sharing"",""ชัยนาท!J289"")"),1)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IFERROR(__xludf.DUMMYFUNCTION("IMPORTRANGE(""https://docs.google.com/spreadsheets/d/1SX6NBoVAgQJ6U1MVXOaj8PK2l7WJ3RER9xtqwdhxkhw/edit?usp=sharing"",""ชัยนาท!I291"")"),20)</f>
        <v>20</v>
      </c>
      <c r="J396" s="198">
        <f ca="1">IFERROR(__xludf.DUMMYFUNCTION("IMPORTRANGE(""https://docs.google.com/spreadsheets/d/1SX6NBoVAgQJ6U1MVXOaj8PK2l7WJ3RER9xtqwdhxkhw/edit?usp=sharing"",""ชัยนาท!J291"")"),20)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IFERROR(__xludf.DUMMYFUNCTION("IMPORTRANGE(""https://docs.google.com/spreadsheets/d/1SX6NBoVAgQJ6U1MVXOaj8PK2l7WJ3RER9xtqwdhxkhw/edit?usp=sharing"",""ชัยนาท!I292"")"),200)</f>
        <v>200</v>
      </c>
      <c r="J397" s="198">
        <f ca="1">IFERROR(__xludf.DUMMYFUNCTION("IMPORTRANGE(""https://docs.google.com/spreadsheets/d/1SX6NBoVAgQJ6U1MVXOaj8PK2l7WJ3RER9xtqwdhxkhw/edit?usp=sharing"",""ชัยนาท!J292"")"),200)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IFERROR(__xludf.DUMMYFUNCTION("IMPORTRANGE(""https://docs.google.com/spreadsheets/d/1SX6NBoVAgQJ6U1MVXOaj8PK2l7WJ3RER9xtqwdhxkhw/edit?usp=sharing"",""ชัยนาท!I293"")"),20)</f>
        <v>20</v>
      </c>
      <c r="J398" s="198">
        <f ca="1">IFERROR(__xludf.DUMMYFUNCTION("IMPORTRANGE(""https://docs.google.com/spreadsheets/d/1SX6NBoVAgQJ6U1MVXOaj8PK2l7WJ3RER9xtqwdhxkhw/edit?usp=sharing"",""ชัยนาท!J293"")"),20)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IFERROR(__xludf.DUMMYFUNCTION("IMPORTRANGE(""https://docs.google.com/spreadsheets/d/1SX6NBoVAgQJ6U1MVXOaj8PK2l7WJ3RER9xtqwdhxkhw/edit?usp=sharing"",""ชัยนาท!J294"")"),0)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IFERROR(__xludf.DUMMYFUNCTION("IMPORTRANGE(""https://docs.google.com/spreadsheets/d/1SX6NBoVAgQJ6U1MVXOaj8PK2l7WJ3RER9xtqwdhxkhw/edit?usp=sharing"",""ชัยนาท!J295"")"),0)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IFERROR(__xludf.DUMMYFUNCTION("IMPORTRANGE(""https://docs.google.com/spreadsheets/d/1SX6NBoVAgQJ6U1MVXOaj8PK2l7WJ3RER9xtqwdhxkhw/edit?usp=sharing"",""ชัยนาท!I296"")"),195)</f>
        <v>195</v>
      </c>
      <c r="J401" s="371">
        <f ca="1">IFERROR(__xludf.DUMMYFUNCTION("IMPORTRANGE(""https://docs.google.com/spreadsheets/d/1SX6NBoVAgQJ6U1MVXOaj8PK2l7WJ3RER9xtqwdhxkhw/edit?usp=sharing"",""ชัยนาท!J296"")"),195)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IFERROR(__xludf.DUMMYFUNCTION("IMPORTRANGE(""https://docs.google.com/spreadsheets/d/1SX6NBoVAgQJ6U1MVXOaj8PK2l7WJ3RER9xtqwdhxkhw/edit?usp=sharing"",""ชัยนาท!L296"")"),226530)</f>
        <v>226530</v>
      </c>
      <c r="M401" s="373"/>
      <c r="N401" s="373">
        <f ca="1">IFERROR(__xludf.DUMMYFUNCTION("IMPORTRANGE(""https://docs.google.com/spreadsheets/d/1SX6NBoVAgQJ6U1MVXOaj8PK2l7WJ3RER9xtqwdhxkhw/edit?usp=sharing"",""ชัยนาท!M296"")"),214835)</f>
        <v>214835</v>
      </c>
      <c r="O401" s="373">
        <f ca="1">+IF(L401&gt;0,N401*100/L401,0)</f>
        <v>94.837328389175823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IFERROR(__xludf.DUMMYFUNCTION("IMPORTRANGE(""https://docs.google.com/spreadsheets/d/1SX6NBoVAgQJ6U1MVXOaj8PK2l7WJ3RER9xtqwdhxkhw/edit?usp=sharing"",""ชัยนาท!I297"")"),65)</f>
        <v>65</v>
      </c>
      <c r="J402" s="371">
        <f ca="1">IFERROR(__xludf.DUMMYFUNCTION("IMPORTRANGE(""https://docs.google.com/spreadsheets/d/1SX6NBoVAgQJ6U1MVXOaj8PK2l7WJ3RER9xtqwdhxkhw/edit?usp=sharing"",""ชัยนาท!J297"")"),65)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IFERROR(__xludf.DUMMYFUNCTION("IMPORTRANGE(""https://docs.google.com/spreadsheets/d/1SX6NBoVAgQJ6U1MVXOaj8PK2l7WJ3RER9xtqwdhxkhw/edit?usp=sharing"",""ชัยนาท!L298"")"),0)</f>
        <v>0</v>
      </c>
      <c r="M403" s="164"/>
      <c r="N403" s="169">
        <f ca="1">IFERROR(__xludf.DUMMYFUNCTION("IMPORTRANGE(""https://docs.google.com/spreadsheets/d/1SX6NBoVAgQJ6U1MVXOaj8PK2l7WJ3RER9xtqwdhxkhw/edit?usp=sharing"",""ชัยนาท!M298"")"),0)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IFERROR(__xludf.DUMMYFUNCTION("IMPORTRANGE(""https://docs.google.com/spreadsheets/d/1SX6NBoVAgQJ6U1MVXOaj8PK2l7WJ3RER9xtqwdhxkhw/edit?usp=sharing"",""ชัยนาท!L299"")"),226530)</f>
        <v>226530</v>
      </c>
      <c r="M404" s="165"/>
      <c r="N404" s="169">
        <f ca="1">IFERROR(__xludf.DUMMYFUNCTION("IMPORTRANGE(""https://docs.google.com/spreadsheets/d/1SX6NBoVAgQJ6U1MVXOaj8PK2l7WJ3RER9xtqwdhxkhw/edit?usp=sharing"",""ชัยนาท!M299"")"),214835)</f>
        <v>214835</v>
      </c>
      <c r="O404" s="169">
        <f t="shared" ca="1" si="112"/>
        <v>94.837328389175823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IFERROR(__xludf.DUMMYFUNCTION("IMPORTRANGE(""https://docs.google.com/spreadsheets/d/1SX6NBoVAgQJ6U1MVXOaj8PK2l7WJ3RER9xtqwdhxkhw/edit?usp=sharing"",""ชัยนาท!L300"")"),0)</f>
        <v>0</v>
      </c>
      <c r="M405" s="169"/>
      <c r="N405" s="169">
        <f ca="1">IFERROR(__xludf.DUMMYFUNCTION("IMPORTRANGE(""https://docs.google.com/spreadsheets/d/1SX6NBoVAgQJ6U1MVXOaj8PK2l7WJ3RER9xtqwdhxkhw/edit?usp=sharing"",""ชัยนาท!M300"")"),0)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IFERROR(__xludf.DUMMYFUNCTION("IMPORTRANGE(""https://docs.google.com/spreadsheets/d/1SX6NBoVAgQJ6U1MVXOaj8PK2l7WJ3RER9xtqwdhxkhw/edit?usp=sharing"",""ชัยนาท!L301"")"),226530)</f>
        <v>226530</v>
      </c>
      <c r="M406" s="169"/>
      <c r="N406" s="169">
        <f ca="1">IFERROR(__xludf.DUMMYFUNCTION("IMPORTRANGE(""https://docs.google.com/spreadsheets/d/1SX6NBoVAgQJ6U1MVXOaj8PK2l7WJ3RER9xtqwdhxkhw/edit?usp=sharing"",""ชัยนาท!M301"")"),214835)</f>
        <v>214835</v>
      </c>
      <c r="O406" s="169">
        <f t="shared" ca="1" si="112"/>
        <v>94.837328389175823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IFERROR(__xludf.DUMMYFUNCTION("IMPORTRANGE(""https://docs.google.com/spreadsheets/d/1SX6NBoVAgQJ6U1MVXOaj8PK2l7WJ3RER9xtqwdhxkhw/edit?usp=sharing"",""ชัยนาท!M302"")"),129150)</f>
        <v>129150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IFERROR(__xludf.DUMMYFUNCTION("IMPORTRANGE(""https://docs.google.com/spreadsheets/d/1SX6NBoVAgQJ6U1MVXOaj8PK2l7WJ3RER9xtqwdhxkhw/edit?usp=sharing"",""ชัยนาท!M303"")"),62500)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IFERROR(__xludf.DUMMYFUNCTION("IMPORTRANGE(""https://docs.google.com/spreadsheets/d/1SX6NBoVAgQJ6U1MVXOaj8PK2l7WJ3RER9xtqwdhxkhw/edit?usp=sharing"",""ชัยนาท!M304"")"),0)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IFERROR(__xludf.DUMMYFUNCTION("IMPORTRANGE(""https://docs.google.com/spreadsheets/d/1SX6NBoVAgQJ6U1MVXOaj8PK2l7WJ3RER9xtqwdhxkhw/edit?usp=sharing"",""ชัยนาท!M305"")"),23185)</f>
        <v>23185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IFERROR(__xludf.DUMMYFUNCTION("IMPORTRANGE(""https://docs.google.com/spreadsheets/d/1SX6NBoVAgQJ6U1MVXOaj8PK2l7WJ3RER9xtqwdhxkhw/edit?usp=sharing"",""ชัยนาท!J307"")"),0)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IFERROR(__xludf.DUMMYFUNCTION("IMPORTRANGE(""https://docs.google.com/spreadsheets/d/1SX6NBoVAgQJ6U1MVXOaj8PK2l7WJ3RER9xtqwdhxkhw/edit?usp=sharing"",""ชัยนาท!J308"")"),1)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IFERROR(__xludf.DUMMYFUNCTION("IMPORTRANGE(""https://docs.google.com/spreadsheets/d/1SX6NBoVAgQJ6U1MVXOaj8PK2l7WJ3RER9xtqwdhxkhw/edit?usp=sharing"",""ชัยนาท!J309"")"),1)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IFERROR(__xludf.DUMMYFUNCTION("IMPORTRANGE(""https://docs.google.com/spreadsheets/d/1SX6NBoVAgQJ6U1MVXOaj8PK2l7WJ3RER9xtqwdhxkhw/edit?usp=sharing"",""ชัยนาท!J310"")"),1)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IFERROR(__xludf.DUMMYFUNCTION("IMPORTRANGE(""https://docs.google.com/spreadsheets/d/1SX6NBoVAgQJ6U1MVXOaj8PK2l7WJ3RER9xtqwdhxkhw/edit?usp=sharing"",""ชัยนาท!I311"")"),65)</f>
        <v>65</v>
      </c>
      <c r="J416" s="201">
        <f ca="1">IFERROR(__xludf.DUMMYFUNCTION("IMPORTRANGE(""https://docs.google.com/spreadsheets/d/1SX6NBoVAgQJ6U1MVXOaj8PK2l7WJ3RER9xtqwdhxkhw/edit?usp=sharing"",""ชัยนาท!J311"")"),65)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IFERROR(__xludf.DUMMYFUNCTION("IMPORTRANGE(""https://docs.google.com/spreadsheets/d/1SX6NBoVAgQJ6U1MVXOaj8PK2l7WJ3RER9xtqwdhxkhw/edit?usp=sharing"",""ชัยนาท!I312"")"),30)</f>
        <v>30</v>
      </c>
      <c r="J417" s="392">
        <f ca="1">IFERROR(__xludf.DUMMYFUNCTION("IMPORTRANGE(""https://docs.google.com/spreadsheets/d/1SX6NBoVAgQJ6U1MVXOaj8PK2l7WJ3RER9xtqwdhxkhw/edit?usp=sharing"",""ชัยนาท!J312"")"),30)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IFERROR(__xludf.DUMMYFUNCTION("IMPORTRANGE(""https://docs.google.com/spreadsheets/d/1SX6NBoVAgQJ6U1MVXOaj8PK2l7WJ3RER9xtqwdhxkhw/edit?usp=sharing"",""ชัยนาท!I313"")"),90)</f>
        <v>90</v>
      </c>
      <c r="J418" s="393">
        <f ca="1">IFERROR(__xludf.DUMMYFUNCTION("IMPORTRANGE(""https://docs.google.com/spreadsheets/d/1SX6NBoVAgQJ6U1MVXOaj8PK2l7WJ3RER9xtqwdhxkhw/edit?usp=sharing"",""ชัยนาท!J313"")"),90)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IFERROR(__xludf.DUMMYFUNCTION("IMPORTRANGE(""https://docs.google.com/spreadsheets/d/1SX6NBoVAgQJ6U1MVXOaj8PK2l7WJ3RER9xtqwdhxkhw/edit?usp=sharing"",""ชัยนาท!I314"")"),30)</f>
        <v>30</v>
      </c>
      <c r="J419" s="394">
        <f ca="1">IFERROR(__xludf.DUMMYFUNCTION("IMPORTRANGE(""https://docs.google.com/spreadsheets/d/1SX6NBoVAgQJ6U1MVXOaj8PK2l7WJ3RER9xtqwdhxkhw/edit?usp=sharing"",""ชัยนาท!J314"")"),30)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IFERROR(__xludf.DUMMYFUNCTION("IMPORTRANGE(""https://docs.google.com/spreadsheets/d/1SX6NBoVAgQJ6U1MVXOaj8PK2l7WJ3RER9xtqwdhxkhw/edit?usp=sharing"",""ชัยนาท!I315"")"),30)</f>
        <v>30</v>
      </c>
      <c r="J420" s="394">
        <f ca="1">IFERROR(__xludf.DUMMYFUNCTION("IMPORTRANGE(""https://docs.google.com/spreadsheets/d/1SX6NBoVAgQJ6U1MVXOaj8PK2l7WJ3RER9xtqwdhxkhw/edit?usp=sharing"",""ชัยนาท!J315"")"),30)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IFERROR(__xludf.DUMMYFUNCTION("IMPORTRANGE(""https://docs.google.com/spreadsheets/d/1SX6NBoVAgQJ6U1MVXOaj8PK2l7WJ3RER9xtqwdhxkhw/edit?usp=sharing"",""ชัยนาท!I316"")"),25)</f>
        <v>25</v>
      </c>
      <c r="J421" s="392">
        <f ca="1">IFERROR(__xludf.DUMMYFUNCTION("IMPORTRANGE(""https://docs.google.com/spreadsheets/d/1SX6NBoVAgQJ6U1MVXOaj8PK2l7WJ3RER9xtqwdhxkhw/edit?usp=sharing"",""ชัยนาท!J316"")"),25)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IFERROR(__xludf.DUMMYFUNCTION("IMPORTRANGE(""https://docs.google.com/spreadsheets/d/1SX6NBoVAgQJ6U1MVXOaj8PK2l7WJ3RER9xtqwdhxkhw/edit?usp=sharing"",""ชัยนาท!I317"")"),75)</f>
        <v>75</v>
      </c>
      <c r="J422" s="393">
        <f ca="1">IFERROR(__xludf.DUMMYFUNCTION("IMPORTRANGE(""https://docs.google.com/spreadsheets/d/1SX6NBoVAgQJ6U1MVXOaj8PK2l7WJ3RER9xtqwdhxkhw/edit?usp=sharing"",""ชัยนาท!J317"")"),75)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IFERROR(__xludf.DUMMYFUNCTION("IMPORTRANGE(""https://docs.google.com/spreadsheets/d/1SX6NBoVAgQJ6U1MVXOaj8PK2l7WJ3RER9xtqwdhxkhw/edit?usp=sharing"",""ชัยนาท!I318"")"),25)</f>
        <v>25</v>
      </c>
      <c r="J423" s="394">
        <f ca="1">IFERROR(__xludf.DUMMYFUNCTION("IMPORTRANGE(""https://docs.google.com/spreadsheets/d/1SX6NBoVAgQJ6U1MVXOaj8PK2l7WJ3RER9xtqwdhxkhw/edit?usp=sharing"",""ชัยนาท!J318"")"),25)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IFERROR(__xludf.DUMMYFUNCTION("IMPORTRANGE(""https://docs.google.com/spreadsheets/d/1SX6NBoVAgQJ6U1MVXOaj8PK2l7WJ3RER9xtqwdhxkhw/edit?usp=sharing"",""ชัยนาท!I319"")"),25)</f>
        <v>25</v>
      </c>
      <c r="J424" s="394">
        <f ca="1">IFERROR(__xludf.DUMMYFUNCTION("IMPORTRANGE(""https://docs.google.com/spreadsheets/d/1SX6NBoVAgQJ6U1MVXOaj8PK2l7WJ3RER9xtqwdhxkhw/edit?usp=sharing"",""ชัยนาท!J319"")"),25)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IFERROR(__xludf.DUMMYFUNCTION("IMPORTRANGE(""https://docs.google.com/spreadsheets/d/1SX6NBoVAgQJ6U1MVXOaj8PK2l7WJ3RER9xtqwdhxkhw/edit?usp=sharing"",""ชัยนาท!I320"")"),25)</f>
        <v>25</v>
      </c>
      <c r="J425" s="394">
        <f ca="1">IFERROR(__xludf.DUMMYFUNCTION("IMPORTRANGE(""https://docs.google.com/spreadsheets/d/1SX6NBoVAgQJ6U1MVXOaj8PK2l7WJ3RER9xtqwdhxkhw/edit?usp=sharing"",""ชัยนาท!J320"")"),25)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IFERROR(__xludf.DUMMYFUNCTION("IMPORTRANGE(""https://docs.google.com/spreadsheets/d/1SX6NBoVAgQJ6U1MVXOaj8PK2l7WJ3RER9xtqwdhxkhw/edit?usp=sharing"",""ชัยนาท!I321"")"),10)</f>
        <v>10</v>
      </c>
      <c r="J426" s="392">
        <f ca="1">IFERROR(__xludf.DUMMYFUNCTION("IMPORTRANGE(""https://docs.google.com/spreadsheets/d/1SX6NBoVAgQJ6U1MVXOaj8PK2l7WJ3RER9xtqwdhxkhw/edit?usp=sharing"",""ชัยนาท!J321"")"),10)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IFERROR(__xludf.DUMMYFUNCTION("IMPORTRANGE(""https://docs.google.com/spreadsheets/d/1SX6NBoVAgQJ6U1MVXOaj8PK2l7WJ3RER9xtqwdhxkhw/edit?usp=sharing"",""ชัยนาท!I322"")"),30)</f>
        <v>30</v>
      </c>
      <c r="J427" s="393">
        <f ca="1">IFERROR(__xludf.DUMMYFUNCTION("IMPORTRANGE(""https://docs.google.com/spreadsheets/d/1SX6NBoVAgQJ6U1MVXOaj8PK2l7WJ3RER9xtqwdhxkhw/edit?usp=sharing"",""ชัยนาท!J322"")"),30)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IFERROR(__xludf.DUMMYFUNCTION("IMPORTRANGE(""https://docs.google.com/spreadsheets/d/1SX6NBoVAgQJ6U1MVXOaj8PK2l7WJ3RER9xtqwdhxkhw/edit?usp=sharing"",""ชัยนาท!I323"")"),10)</f>
        <v>10</v>
      </c>
      <c r="J428" s="394">
        <f ca="1">IFERROR(__xludf.DUMMYFUNCTION("IMPORTRANGE(""https://docs.google.com/spreadsheets/d/1SX6NBoVAgQJ6U1MVXOaj8PK2l7WJ3RER9xtqwdhxkhw/edit?usp=sharing"",""ชัยนาท!J323"")"),10)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IFERROR(__xludf.DUMMYFUNCTION("IMPORTRANGE(""https://docs.google.com/spreadsheets/d/1SX6NBoVAgQJ6U1MVXOaj8PK2l7WJ3RER9xtqwdhxkhw/edit?usp=sharing"",""ชัยนาท!I324"")"),10)</f>
        <v>10</v>
      </c>
      <c r="J429" s="394">
        <f ca="1">IFERROR(__xludf.DUMMYFUNCTION("IMPORTRANGE(""https://docs.google.com/spreadsheets/d/1SX6NBoVAgQJ6U1MVXOaj8PK2l7WJ3RER9xtqwdhxkhw/edit?usp=sharing"",""ชัยนาท!J324"")"),10)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IFERROR(__xludf.DUMMYFUNCTION("IMPORTRANGE(""https://docs.google.com/spreadsheets/d/1SX6NBoVAgQJ6U1MVXOaj8PK2l7WJ3RER9xtqwdhxkhw/edit?usp=sharing"",""ชัยนาท!I325"")"),55)</f>
        <v>55</v>
      </c>
      <c r="J430" s="392">
        <f ca="1">IFERROR(__xludf.DUMMYFUNCTION("IMPORTRANGE(""https://docs.google.com/spreadsheets/d/1SX6NBoVAgQJ6U1MVXOaj8PK2l7WJ3RER9xtqwdhxkhw/edit?usp=sharing"",""ชัยนาท!J325"")"),55)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IFERROR(__xludf.DUMMYFUNCTION("IMPORTRANGE(""https://docs.google.com/spreadsheets/d/1SX6NBoVAgQJ6U1MVXOaj8PK2l7WJ3RER9xtqwdhxkhw/edit?usp=sharing"",""ชัยนาท!I326"")"),30)</f>
        <v>30</v>
      </c>
      <c r="J431" s="394">
        <f ca="1">IFERROR(__xludf.DUMMYFUNCTION("IMPORTRANGE(""https://docs.google.com/spreadsheets/d/1SX6NBoVAgQJ6U1MVXOaj8PK2l7WJ3RER9xtqwdhxkhw/edit?usp=sharing"",""ชัยนาท!J326"")"),30)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IFERROR(__xludf.DUMMYFUNCTION("IMPORTRANGE(""https://docs.google.com/spreadsheets/d/1SX6NBoVAgQJ6U1MVXOaj8PK2l7WJ3RER9xtqwdhxkhw/edit?usp=sharing"",""ชัยนาท!I327"")"),25)</f>
        <v>25</v>
      </c>
      <c r="J432" s="394">
        <f ca="1">IFERROR(__xludf.DUMMYFUNCTION("IMPORTRANGE(""https://docs.google.com/spreadsheets/d/1SX6NBoVAgQJ6U1MVXOaj8PK2l7WJ3RER9xtqwdhxkhw/edit?usp=sharing"",""ชัยนาท!J327"")"),25)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IFERROR(__xludf.DUMMYFUNCTION("IMPORTRANGE(""https://docs.google.com/spreadsheets/d/1SX6NBoVAgQJ6U1MVXOaj8PK2l7WJ3RER9xtqwdhxkhw/edit?usp=sharing"",""ชัยนาท!J328"")"),0)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IFERROR(__xludf.DUMMYFUNCTION("IMPORTRANGE(""https://docs.google.com/spreadsheets/d/1SX6NBoVAgQJ6U1MVXOaj8PK2l7WJ3RER9xtqwdhxkhw/edit?usp=sharing"",""ชัยนาท!J329"")"),0)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IFERROR(__xludf.DUMMYFUNCTION("IMPORTRANGE(""https://docs.google.com/spreadsheets/d/1SX6NBoVAgQJ6U1MVXOaj8PK2l7WJ3RER9xtqwdhxkhw/edit?usp=sharing"",""ชัยนาท!I330"")"),15)</f>
        <v>15</v>
      </c>
      <c r="J435" s="410">
        <f ca="1">IFERROR(__xludf.DUMMYFUNCTION("IMPORTRANGE(""https://docs.google.com/spreadsheets/d/1SX6NBoVAgQJ6U1MVXOaj8PK2l7WJ3RER9xtqwdhxkhw/edit?usp=sharing"",""ชัยนาท!J330"")"),15)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IFERROR(__xludf.DUMMYFUNCTION("IMPORTRANGE(""https://docs.google.com/spreadsheets/d/1SX6NBoVAgQJ6U1MVXOaj8PK2l7WJ3RER9xtqwdhxkhw/edit?usp=sharing"",""ชัยนาท!L330"")"),88000)</f>
        <v>88000</v>
      </c>
      <c r="M435" s="412"/>
      <c r="N435" s="412">
        <f ca="1">IFERROR(__xludf.DUMMYFUNCTION("IMPORTRANGE(""https://docs.google.com/spreadsheets/d/1SX6NBoVAgQJ6U1MVXOaj8PK2l7WJ3RER9xtqwdhxkhw/edit?usp=sharing"",""ชัยนาท!M330"")"),78000)</f>
        <v>78000</v>
      </c>
      <c r="O435" s="412">
        <f t="shared" ref="O435:O439" ca="1" si="114">+IF(L435&gt;0,N435*100/L435,0)</f>
        <v>88.63636363636364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IFERROR(__xludf.DUMMYFUNCTION("IMPORTRANGE(""https://docs.google.com/spreadsheets/d/1SX6NBoVAgQJ6U1MVXOaj8PK2l7WJ3RER9xtqwdhxkhw/edit?usp=sharing"",""ชัยนาท!L331"")"),0)</f>
        <v>0</v>
      </c>
      <c r="M436" s="164"/>
      <c r="N436" s="169">
        <f ca="1">IFERROR(__xludf.DUMMYFUNCTION("IMPORTRANGE(""https://docs.google.com/spreadsheets/d/1SX6NBoVAgQJ6U1MVXOaj8PK2l7WJ3RER9xtqwdhxkhw/edit?usp=sharing"",""ชัยนาท!M331"")"),0)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IFERROR(__xludf.DUMMYFUNCTION("IMPORTRANGE(""https://docs.google.com/spreadsheets/d/1SX6NBoVAgQJ6U1MVXOaj8PK2l7WJ3RER9xtqwdhxkhw/edit?usp=sharing"",""ชัยนาท!L332"")"),88000)</f>
        <v>88000</v>
      </c>
      <c r="M437" s="165"/>
      <c r="N437" s="169">
        <f ca="1">IFERROR(__xludf.DUMMYFUNCTION("IMPORTRANGE(""https://docs.google.com/spreadsheets/d/1SX6NBoVAgQJ6U1MVXOaj8PK2l7WJ3RER9xtqwdhxkhw/edit?usp=sharing"",""ชัยนาท!M332"")"),78000)</f>
        <v>78000</v>
      </c>
      <c r="O437" s="169">
        <f t="shared" ca="1" si="114"/>
        <v>88.63636363636364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IFERROR(__xludf.DUMMYFUNCTION("IMPORTRANGE(""https://docs.google.com/spreadsheets/d/1SX6NBoVAgQJ6U1MVXOaj8PK2l7WJ3RER9xtqwdhxkhw/edit?usp=sharing"",""ชัยนาท!L333"")"),0)</f>
        <v>0</v>
      </c>
      <c r="M438" s="169"/>
      <c r="N438" s="169">
        <f ca="1">IFERROR(__xludf.DUMMYFUNCTION("IMPORTRANGE(""https://docs.google.com/spreadsheets/d/1SX6NBoVAgQJ6U1MVXOaj8PK2l7WJ3RER9xtqwdhxkhw/edit?usp=sharing"",""ชัยนาท!M333"")"),0)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IFERROR(__xludf.DUMMYFUNCTION("IMPORTRANGE(""https://docs.google.com/spreadsheets/d/1SX6NBoVAgQJ6U1MVXOaj8PK2l7WJ3RER9xtqwdhxkhw/edit?usp=sharing"",""ชัยนาท!L334"")"),88000)</f>
        <v>88000</v>
      </c>
      <c r="M439" s="169"/>
      <c r="N439" s="169">
        <f ca="1">IFERROR(__xludf.DUMMYFUNCTION("IMPORTRANGE(""https://docs.google.com/spreadsheets/d/1SX6NBoVAgQJ6U1MVXOaj8PK2l7WJ3RER9xtqwdhxkhw/edit?usp=sharing"",""ชัยนาท!M334"")"),78000)</f>
        <v>78000</v>
      </c>
      <c r="O439" s="169">
        <f t="shared" ca="1" si="114"/>
        <v>88.63636363636364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IFERROR(__xludf.DUMMYFUNCTION("IMPORTRANGE(""https://docs.google.com/spreadsheets/d/1SX6NBoVAgQJ6U1MVXOaj8PK2l7WJ3RER9xtqwdhxkhw/edit?usp=sharing"",""ชัยนาท!M335"")"),32200)</f>
        <v>32200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IFERROR(__xludf.DUMMYFUNCTION("IMPORTRANGE(""https://docs.google.com/spreadsheets/d/1SX6NBoVAgQJ6U1MVXOaj8PK2l7WJ3RER9xtqwdhxkhw/edit?usp=sharing"",""ชัยนาท!M336"")"),0)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IFERROR(__xludf.DUMMYFUNCTION("IMPORTRANGE(""https://docs.google.com/spreadsheets/d/1SX6NBoVAgQJ6U1MVXOaj8PK2l7WJ3RER9xtqwdhxkhw/edit?usp=sharing"",""ชัยนาท!M337"")"),0)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IFERROR(__xludf.DUMMYFUNCTION("IMPORTRANGE(""https://docs.google.com/spreadsheets/d/1SX6NBoVAgQJ6U1MVXOaj8PK2l7WJ3RER9xtqwdhxkhw/edit?usp=sharing"",""ชัยนาท!M338"")"),45800)</f>
        <v>45800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IFERROR(__xludf.DUMMYFUNCTION("IMPORTRANGE(""https://docs.google.com/spreadsheets/d/1SX6NBoVAgQJ6U1MVXOaj8PK2l7WJ3RER9xtqwdhxkhw/edit?usp=sharing"",""ชัยนาท!J340"")"),0)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IFERROR(__xludf.DUMMYFUNCTION("IMPORTRANGE(""https://docs.google.com/spreadsheets/d/1SX6NBoVAgQJ6U1MVXOaj8PK2l7WJ3RER9xtqwdhxkhw/edit?usp=sharing"",""ชัยนาท!J341"")"),1)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IFERROR(__xludf.DUMMYFUNCTION("IMPORTRANGE(""https://docs.google.com/spreadsheets/d/1SX6NBoVAgQJ6U1MVXOaj8PK2l7WJ3RER9xtqwdhxkhw/edit?usp=sharing"",""ชัยนาท!J342"")"),1)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IFERROR(__xludf.DUMMYFUNCTION("IMPORTRANGE(""https://docs.google.com/spreadsheets/d/1SX6NBoVAgQJ6U1MVXOaj8PK2l7WJ3RER9xtqwdhxkhw/edit?usp=sharing"",""ชัยนาท!J343"")"),1)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IFERROR(__xludf.DUMMYFUNCTION("IMPORTRANGE(""https://docs.google.com/spreadsheets/d/1SX6NBoVAgQJ6U1MVXOaj8PK2l7WJ3RER9xtqwdhxkhw/edit?usp=sharing"",""ชัยนาท!I344"")"),15)</f>
        <v>15</v>
      </c>
      <c r="J449" s="201">
        <f ca="1">IFERROR(__xludf.DUMMYFUNCTION("IMPORTRANGE(""https://docs.google.com/spreadsheets/d/1SX6NBoVAgQJ6U1MVXOaj8PK2l7WJ3RER9xtqwdhxkhw/edit?usp=sharing"",""ชัยนาท!J344"")"),15)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IFERROR(__xludf.DUMMYFUNCTION("IMPORTRANGE(""https://docs.google.com/spreadsheets/d/1SX6NBoVAgQJ6U1MVXOaj8PK2l7WJ3RER9xtqwdhxkhw/edit?usp=sharing"",""ชัยนาท!I345"")"),15)</f>
        <v>15</v>
      </c>
      <c r="J450" s="189">
        <f ca="1">IFERROR(__xludf.DUMMYFUNCTION("IMPORTRANGE(""https://docs.google.com/spreadsheets/d/1SX6NBoVAgQJ6U1MVXOaj8PK2l7WJ3RER9xtqwdhxkhw/edit?usp=sharing"",""ชัยนาท!J345"")"),15)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IFERROR(__xludf.DUMMYFUNCTION("IMPORTRANGE(""https://docs.google.com/spreadsheets/d/1SX6NBoVAgQJ6U1MVXOaj8PK2l7WJ3RER9xtqwdhxkhw/edit?usp=sharing"",""ชัยนาท!I346"")"),0)</f>
        <v>0</v>
      </c>
      <c r="J451" s="188">
        <f ca="1">IFERROR(__xludf.DUMMYFUNCTION("IMPORTRANGE(""https://docs.google.com/spreadsheets/d/1SX6NBoVAgQJ6U1MVXOaj8PK2l7WJ3RER9xtqwdhxkhw/edit?usp=sharing"",""ชัยนาท!J346"")"),0)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IFERROR(__xludf.DUMMYFUNCTION("IMPORTRANGE(""https://docs.google.com/spreadsheets/d/1SX6NBoVAgQJ6U1MVXOaj8PK2l7WJ3RER9xtqwdhxkhw/edit?usp=sharing"",""ชัยนาท!I347"")"),0)</f>
        <v>0</v>
      </c>
      <c r="J452" s="188">
        <f ca="1">IFERROR(__xludf.DUMMYFUNCTION("IMPORTRANGE(""https://docs.google.com/spreadsheets/d/1SX6NBoVAgQJ6U1MVXOaj8PK2l7WJ3RER9xtqwdhxkhw/edit?usp=sharing"",""ชัยนาท!J347"")"),0)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IFERROR(__xludf.DUMMYFUNCTION("IMPORTRANGE(""https://docs.google.com/spreadsheets/d/1SX6NBoVAgQJ6U1MVXOaj8PK2l7WJ3RER9xtqwdhxkhw/edit?usp=sharing"",""ชัยนาท!J348"")"),0)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IFERROR(__xludf.DUMMYFUNCTION("IMPORTRANGE(""https://docs.google.com/spreadsheets/d/1SX6NBoVAgQJ6U1MVXOaj8PK2l7WJ3RER9xtqwdhxkhw/edit?usp=sharing"",""ชัยนาท!J349"")"),0)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IFERROR(__xludf.DUMMYFUNCTION("IMPORTRANGE(""https://docs.google.com/spreadsheets/d/1SX6NBoVAgQJ6U1MVXOaj8PK2l7WJ3RER9xtqwdhxkhw/edit?usp=sharing"",""ชัยนาท!I350"")"),5989)</f>
        <v>5989</v>
      </c>
      <c r="J455" s="371">
        <f ca="1">IFERROR(__xludf.DUMMYFUNCTION("IMPORTRANGE(""https://docs.google.com/spreadsheets/d/1SX6NBoVAgQJ6U1MVXOaj8PK2l7WJ3RER9xtqwdhxkhw/edit?usp=sharing"",""ชัยนาท!J350"")"),5989)</f>
        <v>5989</v>
      </c>
      <c r="K455" s="372">
        <f ca="1">IF(I455&gt;0,J455*100/I455,0)</f>
        <v>100</v>
      </c>
      <c r="L455" s="373">
        <f ca="1">IFERROR(__xludf.DUMMYFUNCTION("IMPORTRANGE(""https://docs.google.com/spreadsheets/d/1SX6NBoVAgQJ6U1MVXOaj8PK2l7WJ3RER9xtqwdhxkhw/edit?usp=sharing"",""ชัยนาท!L350"")"),98174)</f>
        <v>98174</v>
      </c>
      <c r="M455" s="373"/>
      <c r="N455" s="373">
        <f ca="1">IFERROR(__xludf.DUMMYFUNCTION("IMPORTRANGE(""https://docs.google.com/spreadsheets/d/1SX6NBoVAgQJ6U1MVXOaj8PK2l7WJ3RER9xtqwdhxkhw/edit?usp=sharing"",""ชัยนาท!M350"")"),35460)</f>
        <v>35460</v>
      </c>
      <c r="O455" s="373">
        <f t="shared" ref="O455:O459" ca="1" si="116">+IF(L455&gt;0,N455*100/L455,0)</f>
        <v>36.119542852486404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IFERROR(__xludf.DUMMYFUNCTION("IMPORTRANGE(""https://docs.google.com/spreadsheets/d/1SX6NBoVAgQJ6U1MVXOaj8PK2l7WJ3RER9xtqwdhxkhw/edit?usp=sharing"",""ชัยนาท!L351"")"),0)</f>
        <v>0</v>
      </c>
      <c r="M456" s="164"/>
      <c r="N456" s="169">
        <f ca="1">IFERROR(__xludf.DUMMYFUNCTION("IMPORTRANGE(""https://docs.google.com/spreadsheets/d/1SX6NBoVAgQJ6U1MVXOaj8PK2l7WJ3RER9xtqwdhxkhw/edit?usp=sharing"",""ชัยนาท!M351"")"),0)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IFERROR(__xludf.DUMMYFUNCTION("IMPORTRANGE(""https://docs.google.com/spreadsheets/d/1SX6NBoVAgQJ6U1MVXOaj8PK2l7WJ3RER9xtqwdhxkhw/edit?usp=sharing"",""ชัยนาท!L352"")"),98174)</f>
        <v>98174</v>
      </c>
      <c r="M457" s="165"/>
      <c r="N457" s="169">
        <f ca="1">IFERROR(__xludf.DUMMYFUNCTION("IMPORTRANGE(""https://docs.google.com/spreadsheets/d/1SX6NBoVAgQJ6U1MVXOaj8PK2l7WJ3RER9xtqwdhxkhw/edit?usp=sharing"",""ชัยนาท!M352"")"),35460)</f>
        <v>35460</v>
      </c>
      <c r="O457" s="169">
        <f t="shared" ca="1" si="116"/>
        <v>36.119542852486404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IFERROR(__xludf.DUMMYFUNCTION("IMPORTRANGE(""https://docs.google.com/spreadsheets/d/1SX6NBoVAgQJ6U1MVXOaj8PK2l7WJ3RER9xtqwdhxkhw/edit?usp=sharing"",""ชัยนาท!L353"")"),0)</f>
        <v>0</v>
      </c>
      <c r="M458" s="169"/>
      <c r="N458" s="169">
        <f ca="1">IFERROR(__xludf.DUMMYFUNCTION("IMPORTRANGE(""https://docs.google.com/spreadsheets/d/1SX6NBoVAgQJ6U1MVXOaj8PK2l7WJ3RER9xtqwdhxkhw/edit?usp=sharing"",""ชัยนาท!M353"")"),0)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IFERROR(__xludf.DUMMYFUNCTION("IMPORTRANGE(""https://docs.google.com/spreadsheets/d/1SX6NBoVAgQJ6U1MVXOaj8PK2l7WJ3RER9xtqwdhxkhw/edit?usp=sharing"",""ชัยนาท!L354"")"),98174)</f>
        <v>98174</v>
      </c>
      <c r="M459" s="169"/>
      <c r="N459" s="169">
        <f ca="1">IFERROR(__xludf.DUMMYFUNCTION("IMPORTRANGE(""https://docs.google.com/spreadsheets/d/1SX6NBoVAgQJ6U1MVXOaj8PK2l7WJ3RER9xtqwdhxkhw/edit?usp=sharing"",""ชัยนาท!M354"")"),35460)</f>
        <v>35460</v>
      </c>
      <c r="O459" s="169">
        <f t="shared" ca="1" si="116"/>
        <v>36.119542852486404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IFERROR(__xludf.DUMMYFUNCTION("IMPORTRANGE(""https://docs.google.com/spreadsheets/d/1SX6NBoVAgQJ6U1MVXOaj8PK2l7WJ3RER9xtqwdhxkhw/edit?usp=sharing"",""ชัยนาท!M355"")"),0)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IFERROR(__xludf.DUMMYFUNCTION("IMPORTRANGE(""https://docs.google.com/spreadsheets/d/1SX6NBoVAgQJ6U1MVXOaj8PK2l7WJ3RER9xtqwdhxkhw/edit?usp=sharing"",""ชัยนาท!M356"")"),0)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IFERROR(__xludf.DUMMYFUNCTION("IMPORTRANGE(""https://docs.google.com/spreadsheets/d/1SX6NBoVAgQJ6U1MVXOaj8PK2l7WJ3RER9xtqwdhxkhw/edit?usp=sharing"",""ชัยนาท!M357"")"),0)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IFERROR(__xludf.DUMMYFUNCTION("IMPORTRANGE(""https://docs.google.com/spreadsheets/d/1SX6NBoVAgQJ6U1MVXOaj8PK2l7WJ3RER9xtqwdhxkhw/edit?usp=sharing"",""ชัยนาท!M358"")"),35460)</f>
        <v>35460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IFERROR(__xludf.DUMMYFUNCTION("IMPORTRANGE(""https://docs.google.com/spreadsheets/d/1SX6NBoVAgQJ6U1MVXOaj8PK2l7WJ3RER9xtqwdhxkhw/edit?usp=sharing"",""ชัยนาท!I359"")"),5989)</f>
        <v>5989</v>
      </c>
      <c r="J464" s="268">
        <f ca="1">IFERROR(__xludf.DUMMYFUNCTION("IMPORTRANGE(""https://docs.google.com/spreadsheets/d/1SX6NBoVAgQJ6U1MVXOaj8PK2l7WJ3RER9xtqwdhxkhw/edit?usp=sharing"",""ชัยนาท!J359"")"),5989)</f>
        <v>5989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IFERROR(__xludf.DUMMYFUNCTION("IMPORTRANGE(""https://docs.google.com/spreadsheets/d/1SX6NBoVAgQJ6U1MVXOaj8PK2l7WJ3RER9xtqwdhxkhw/edit?usp=sharing"",""ชัยนาท!I360"")"),5989)</f>
        <v>5989</v>
      </c>
      <c r="J465" s="420">
        <f ca="1">IFERROR(__xludf.DUMMYFUNCTION("IMPORTRANGE(""https://docs.google.com/spreadsheets/d/1SX6NBoVAgQJ6U1MVXOaj8PK2l7WJ3RER9xtqwdhxkhw/edit?usp=sharing"",""ชัยนาท!J360"")"),5989)</f>
        <v>5989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IFERROR(__xludf.DUMMYFUNCTION("IMPORTRANGE(""https://docs.google.com/spreadsheets/d/1SX6NBoVAgQJ6U1MVXOaj8PK2l7WJ3RER9xtqwdhxkhw/edit?usp=sharing"",""ชัยนาท!I361"")"),321)</f>
        <v>321</v>
      </c>
      <c r="J466" s="420">
        <f ca="1">IFERROR(__xludf.DUMMYFUNCTION("IMPORTRANGE(""https://docs.google.com/spreadsheets/d/1SX6NBoVAgQJ6U1MVXOaj8PK2l7WJ3RER9xtqwdhxkhw/edit?usp=sharing"",""ชัยนาท!J361"")"),321)</f>
        <v>321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IFERROR(__xludf.DUMMYFUNCTION("IMPORTRANGE(""https://docs.google.com/spreadsheets/d/1SX6NBoVAgQJ6U1MVXOaj8PK2l7WJ3RER9xtqwdhxkhw/edit?usp=sharing"",""ชัยนาท!I362"")"),0)</f>
        <v>0</v>
      </c>
      <c r="J467" s="189">
        <f ca="1">IFERROR(__xludf.DUMMYFUNCTION("IMPORTRANGE(""https://docs.google.com/spreadsheets/d/1SX6NBoVAgQJ6U1MVXOaj8PK2l7WJ3RER9xtqwdhxkhw/edit?usp=sharing"",""ชัยนาท!J362"")"),5731)</f>
        <v>5731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IFERROR(__xludf.DUMMYFUNCTION("IMPORTRANGE(""https://docs.google.com/spreadsheets/d/1SX6NBoVAgQJ6U1MVXOaj8PK2l7WJ3RER9xtqwdhxkhw/edit?usp=sharing"",""ชัยนาท!I363"")"),0)</f>
        <v>0</v>
      </c>
      <c r="J468" s="189">
        <f ca="1">IFERROR(__xludf.DUMMYFUNCTION("IMPORTRANGE(""https://docs.google.com/spreadsheets/d/1SX6NBoVAgQJ6U1MVXOaj8PK2l7WJ3RER9xtqwdhxkhw/edit?usp=sharing"",""ชัยนาท!J363"")"),300)</f>
        <v>300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IFERROR(__xludf.DUMMYFUNCTION("IMPORTRANGE(""https://docs.google.com/spreadsheets/d/1SX6NBoVAgQJ6U1MVXOaj8PK2l7WJ3RER9xtqwdhxkhw/edit?usp=sharing"",""ชัยนาท!I364"")"),0)</f>
        <v>0</v>
      </c>
      <c r="J469" s="189">
        <f ca="1">IFERROR(__xludf.DUMMYFUNCTION("IMPORTRANGE(""https://docs.google.com/spreadsheets/d/1SX6NBoVAgQJ6U1MVXOaj8PK2l7WJ3RER9xtqwdhxkhw/edit?usp=sharing"",""ชัยนาท!J364"")"),180)</f>
        <v>180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IFERROR(__xludf.DUMMYFUNCTION("IMPORTRANGE(""https://docs.google.com/spreadsheets/d/1SX6NBoVAgQJ6U1MVXOaj8PK2l7WJ3RER9xtqwdhxkhw/edit?usp=sharing"",""ชัยนาท!I365"")"),0)</f>
        <v>0</v>
      </c>
      <c r="J470" s="189">
        <f ca="1">IFERROR(__xludf.DUMMYFUNCTION("IMPORTRANGE(""https://docs.google.com/spreadsheets/d/1SX6NBoVAgQJ6U1MVXOaj8PK2l7WJ3RER9xtqwdhxkhw/edit?usp=sharing"",""ชัยนาท!J365"")"),17)</f>
        <v>17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IFERROR(__xludf.DUMMYFUNCTION("IMPORTRANGE(""https://docs.google.com/spreadsheets/d/1SX6NBoVAgQJ6U1MVXOaj8PK2l7WJ3RER9xtqwdhxkhw/edit?usp=sharing"",""ชัยนาท!I366"")"),0)</f>
        <v>0</v>
      </c>
      <c r="J471" s="189">
        <f ca="1">IFERROR(__xludf.DUMMYFUNCTION("IMPORTRANGE(""https://docs.google.com/spreadsheets/d/1SX6NBoVAgQJ6U1MVXOaj8PK2l7WJ3RER9xtqwdhxkhw/edit?usp=sharing"",""ชัยนาท!J366"")"),78)</f>
        <v>78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IFERROR(__xludf.DUMMYFUNCTION("IMPORTRANGE(""https://docs.google.com/spreadsheets/d/1SX6NBoVAgQJ6U1MVXOaj8PK2l7WJ3RER9xtqwdhxkhw/edit?usp=sharing"",""ชัยนาท!I367"")"),0)</f>
        <v>0</v>
      </c>
      <c r="J472" s="189">
        <f ca="1">IFERROR(__xludf.DUMMYFUNCTION("IMPORTRANGE(""https://docs.google.com/spreadsheets/d/1SX6NBoVAgQJ6U1MVXOaj8PK2l7WJ3RER9xtqwdhxkhw/edit?usp=sharing"",""ชัยนาท!J367"")"),4)</f>
        <v>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IFERROR(__xludf.DUMMYFUNCTION("IMPORTRANGE(""https://docs.google.com/spreadsheets/d/1SX6NBoVAgQJ6U1MVXOaj8PK2l7WJ3RER9xtqwdhxkhw/edit?usp=sharing"",""ชัยนาท!I368"")"),5989)</f>
        <v>5989</v>
      </c>
      <c r="J473" s="420">
        <f ca="1">IFERROR(__xludf.DUMMYFUNCTION("IMPORTRANGE(""https://docs.google.com/spreadsheets/d/1SX6NBoVAgQJ6U1MVXOaj8PK2l7WJ3RER9xtqwdhxkhw/edit?usp=sharing"",""ชัยนาท!J368"")"),5989)</f>
        <v>5989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IFERROR(__xludf.DUMMYFUNCTION("IMPORTRANGE(""https://docs.google.com/spreadsheets/d/1SX6NBoVAgQJ6U1MVXOaj8PK2l7WJ3RER9xtqwdhxkhw/edit?usp=sharing"",""ชัยนาท!I369"")"),321)</f>
        <v>321</v>
      </c>
      <c r="J474" s="420">
        <f ca="1">IFERROR(__xludf.DUMMYFUNCTION("IMPORTRANGE(""https://docs.google.com/spreadsheets/d/1SX6NBoVAgQJ6U1MVXOaj8PK2l7WJ3RER9xtqwdhxkhw/edit?usp=sharing"",""ชัยนาท!J369"")"),321)</f>
        <v>321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IFERROR(__xludf.DUMMYFUNCTION("IMPORTRANGE(""https://docs.google.com/spreadsheets/d/1SX6NBoVAgQJ6U1MVXOaj8PK2l7WJ3RER9xtqwdhxkhw/edit?usp=sharing"",""ชัยนาท!I370"")"),0)</f>
        <v>0</v>
      </c>
      <c r="J475" s="189">
        <f ca="1">IFERROR(__xludf.DUMMYFUNCTION("IMPORTRANGE(""https://docs.google.com/spreadsheets/d/1SX6NBoVAgQJ6U1MVXOaj8PK2l7WJ3RER9xtqwdhxkhw/edit?usp=sharing"",""ชัยนาท!J370"")"),5731)</f>
        <v>5731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IFERROR(__xludf.DUMMYFUNCTION("IMPORTRANGE(""https://docs.google.com/spreadsheets/d/1SX6NBoVAgQJ6U1MVXOaj8PK2l7WJ3RER9xtqwdhxkhw/edit?usp=sharing"",""ชัยนาท!I371"")"),0)</f>
        <v>0</v>
      </c>
      <c r="J476" s="189">
        <f ca="1">IFERROR(__xludf.DUMMYFUNCTION("IMPORTRANGE(""https://docs.google.com/spreadsheets/d/1SX6NBoVAgQJ6U1MVXOaj8PK2l7WJ3RER9xtqwdhxkhw/edit?usp=sharing"",""ชัยนาท!J371"")"),300)</f>
        <v>300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IFERROR(__xludf.DUMMYFUNCTION("IMPORTRANGE(""https://docs.google.com/spreadsheets/d/1SX6NBoVAgQJ6U1MVXOaj8PK2l7WJ3RER9xtqwdhxkhw/edit?usp=sharing"",""ชัยนาท!I372"")"),0)</f>
        <v>0</v>
      </c>
      <c r="J477" s="189">
        <f ca="1">IFERROR(__xludf.DUMMYFUNCTION("IMPORTRANGE(""https://docs.google.com/spreadsheets/d/1SX6NBoVAgQJ6U1MVXOaj8PK2l7WJ3RER9xtqwdhxkhw/edit?usp=sharing"",""ชัยนาท!J372"")"),180)</f>
        <v>180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IFERROR(__xludf.DUMMYFUNCTION("IMPORTRANGE(""https://docs.google.com/spreadsheets/d/1SX6NBoVAgQJ6U1MVXOaj8PK2l7WJ3RER9xtqwdhxkhw/edit?usp=sharing"",""ชัยนาท!I373"")"),0)</f>
        <v>0</v>
      </c>
      <c r="J478" s="189">
        <f ca="1">IFERROR(__xludf.DUMMYFUNCTION("IMPORTRANGE(""https://docs.google.com/spreadsheets/d/1SX6NBoVAgQJ6U1MVXOaj8PK2l7WJ3RER9xtqwdhxkhw/edit?usp=sharing"",""ชัยนาท!J373"")"),17)</f>
        <v>17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IFERROR(__xludf.DUMMYFUNCTION("IMPORTRANGE(""https://docs.google.com/spreadsheets/d/1SX6NBoVAgQJ6U1MVXOaj8PK2l7WJ3RER9xtqwdhxkhw/edit?usp=sharing"",""ชัยนาท!I374"")"),0)</f>
        <v>0</v>
      </c>
      <c r="J479" s="189">
        <f ca="1">IFERROR(__xludf.DUMMYFUNCTION("IMPORTRANGE(""https://docs.google.com/spreadsheets/d/1SX6NBoVAgQJ6U1MVXOaj8PK2l7WJ3RER9xtqwdhxkhw/edit?usp=sharing"",""ชัยนาท!J374"")"),78)</f>
        <v>78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IFERROR(__xludf.DUMMYFUNCTION("IMPORTRANGE(""https://docs.google.com/spreadsheets/d/1SX6NBoVAgQJ6U1MVXOaj8PK2l7WJ3RER9xtqwdhxkhw/edit?usp=sharing"",""ชัยนาท!I375"")"),0)</f>
        <v>0</v>
      </c>
      <c r="J480" s="189">
        <f ca="1">IFERROR(__xludf.DUMMYFUNCTION("IMPORTRANGE(""https://docs.google.com/spreadsheets/d/1SX6NBoVAgQJ6U1MVXOaj8PK2l7WJ3RER9xtqwdhxkhw/edit?usp=sharing"",""ชัยนาท!J375"")"),4)</f>
        <v>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IFERROR(__xludf.DUMMYFUNCTION("IMPORTRANGE(""https://docs.google.com/spreadsheets/d/1SX6NBoVAgQJ6U1MVXOaj8PK2l7WJ3RER9xtqwdhxkhw/edit?usp=sharing"",""ชัยนาท!I376"")"),5989)</f>
        <v>5989</v>
      </c>
      <c r="J481" s="420">
        <f ca="1">IFERROR(__xludf.DUMMYFUNCTION("IMPORTRANGE(""https://docs.google.com/spreadsheets/d/1SX6NBoVAgQJ6U1MVXOaj8PK2l7WJ3RER9xtqwdhxkhw/edit?usp=sharing"",""ชัยนาท!J376"")"),5989)</f>
        <v>5989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IFERROR(__xludf.DUMMYFUNCTION("IMPORTRANGE(""https://docs.google.com/spreadsheets/d/1SX6NBoVAgQJ6U1MVXOaj8PK2l7WJ3RER9xtqwdhxkhw/edit?usp=sharing"",""ชัยนาท!I377"")"),321)</f>
        <v>321</v>
      </c>
      <c r="J482" s="420">
        <f ca="1">IFERROR(__xludf.DUMMYFUNCTION("IMPORTRANGE(""https://docs.google.com/spreadsheets/d/1SX6NBoVAgQJ6U1MVXOaj8PK2l7WJ3RER9xtqwdhxkhw/edit?usp=sharing"",""ชัยนาท!J377"")"),321)</f>
        <v>321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IFERROR(__xludf.DUMMYFUNCTION("IMPORTRANGE(""https://docs.google.com/spreadsheets/d/1SX6NBoVAgQJ6U1MVXOaj8PK2l7WJ3RER9xtqwdhxkhw/edit?usp=sharing"",""ชัยนาท!I378"")"),0)</f>
        <v>0</v>
      </c>
      <c r="J483" s="189">
        <f ca="1">IFERROR(__xludf.DUMMYFUNCTION("IMPORTRANGE(""https://docs.google.com/spreadsheets/d/1SX6NBoVAgQJ6U1MVXOaj8PK2l7WJ3RER9xtqwdhxkhw/edit?usp=sharing"",""ชัยนาท!J378"")"),5731)</f>
        <v>5731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IFERROR(__xludf.DUMMYFUNCTION("IMPORTRANGE(""https://docs.google.com/spreadsheets/d/1SX6NBoVAgQJ6U1MVXOaj8PK2l7WJ3RER9xtqwdhxkhw/edit?usp=sharing"",""ชัยนาท!I379"")"),0)</f>
        <v>0</v>
      </c>
      <c r="J484" s="189">
        <f ca="1">IFERROR(__xludf.DUMMYFUNCTION("IMPORTRANGE(""https://docs.google.com/spreadsheets/d/1SX6NBoVAgQJ6U1MVXOaj8PK2l7WJ3RER9xtqwdhxkhw/edit?usp=sharing"",""ชัยนาท!J379"")"),300)</f>
        <v>300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IFERROR(__xludf.DUMMYFUNCTION("IMPORTRANGE(""https://docs.google.com/spreadsheets/d/1SX6NBoVAgQJ6U1MVXOaj8PK2l7WJ3RER9xtqwdhxkhw/edit?usp=sharing"",""ชัยนาท!I380"")"),0)</f>
        <v>0</v>
      </c>
      <c r="J485" s="189">
        <f ca="1">IFERROR(__xludf.DUMMYFUNCTION("IMPORTRANGE(""https://docs.google.com/spreadsheets/d/1SX6NBoVAgQJ6U1MVXOaj8PK2l7WJ3RER9xtqwdhxkhw/edit?usp=sharing"",""ชัยนาท!J380"")"),180)</f>
        <v>180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IFERROR(__xludf.DUMMYFUNCTION("IMPORTRANGE(""https://docs.google.com/spreadsheets/d/1SX6NBoVAgQJ6U1MVXOaj8PK2l7WJ3RER9xtqwdhxkhw/edit?usp=sharing"",""ชัยนาท!I381"")"),0)</f>
        <v>0</v>
      </c>
      <c r="J486" s="189">
        <f ca="1">IFERROR(__xludf.DUMMYFUNCTION("IMPORTRANGE(""https://docs.google.com/spreadsheets/d/1SX6NBoVAgQJ6U1MVXOaj8PK2l7WJ3RER9xtqwdhxkhw/edit?usp=sharing"",""ชัยนาท!J381"")"),17)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IFERROR(__xludf.DUMMYFUNCTION("IMPORTRANGE(""https://docs.google.com/spreadsheets/d/1SX6NBoVAgQJ6U1MVXOaj8PK2l7WJ3RER9xtqwdhxkhw/edit?usp=sharing"",""ชัยนาท!I382"")"),0)</f>
        <v>0</v>
      </c>
      <c r="J487" s="420">
        <f ca="1">IFERROR(__xludf.DUMMYFUNCTION("IMPORTRANGE(""https://docs.google.com/spreadsheets/d/1SX6NBoVAgQJ6U1MVXOaj8PK2l7WJ3RER9xtqwdhxkhw/edit?usp=sharing"",""ชัยนาท!J382"")"),78)</f>
        <v>78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IFERROR(__xludf.DUMMYFUNCTION("IMPORTRANGE(""https://docs.google.com/spreadsheets/d/1SX6NBoVAgQJ6U1MVXOaj8PK2l7WJ3RER9xtqwdhxkhw/edit?usp=sharing"",""ชัยนาท!I383"")"),0)</f>
        <v>0</v>
      </c>
      <c r="J488" s="420">
        <f ca="1">IFERROR(__xludf.DUMMYFUNCTION("IMPORTRANGE(""https://docs.google.com/spreadsheets/d/1SX6NBoVAgQJ6U1MVXOaj8PK2l7WJ3RER9xtqwdhxkhw/edit?usp=sharing"",""ชัยนาท!J383"")"),4)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IFERROR(__xludf.DUMMYFUNCTION("IMPORTRANGE(""https://docs.google.com/spreadsheets/d/1SX6NBoVAgQJ6U1MVXOaj8PK2l7WJ3RER9xtqwdhxkhw/edit?usp=sharing"",""ชัยนาท!I384"")"),0)</f>
        <v>0</v>
      </c>
      <c r="J489" s="189">
        <f ca="1">IFERROR(__xludf.DUMMYFUNCTION("IMPORTRANGE(""https://docs.google.com/spreadsheets/d/1SX6NBoVAgQJ6U1MVXOaj8PK2l7WJ3RER9xtqwdhxkhw/edit?usp=sharing"",""ชัยนาท!J384"")"),78)</f>
        <v>78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IFERROR(__xludf.DUMMYFUNCTION("IMPORTRANGE(""https://docs.google.com/spreadsheets/d/1SX6NBoVAgQJ6U1MVXOaj8PK2l7WJ3RER9xtqwdhxkhw/edit?usp=sharing"",""ชัยนาท!I385"")"),0)</f>
        <v>0</v>
      </c>
      <c r="J490" s="189">
        <f ca="1">IFERROR(__xludf.DUMMYFUNCTION("IMPORTRANGE(""https://docs.google.com/spreadsheets/d/1SX6NBoVAgQJ6U1MVXOaj8PK2l7WJ3RER9xtqwdhxkhw/edit?usp=sharing"",""ชัยนาท!J385"")"),4)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IFERROR(__xludf.DUMMYFUNCTION("IMPORTRANGE(""https://docs.google.com/spreadsheets/d/1SX6NBoVAgQJ6U1MVXOaj8PK2l7WJ3RER9xtqwdhxkhw/edit?usp=sharing"",""ชัยนาท!I386"")"),0)</f>
        <v>0</v>
      </c>
      <c r="J491" s="189">
        <f ca="1">IFERROR(__xludf.DUMMYFUNCTION("IMPORTRANGE(""https://docs.google.com/spreadsheets/d/1SX6NBoVAgQJ6U1MVXOaj8PK2l7WJ3RER9xtqwdhxkhw/edit?usp=sharing"",""ชัยนาท!J386"")"),0)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IFERROR(__xludf.DUMMYFUNCTION("IMPORTRANGE(""https://docs.google.com/spreadsheets/d/1SX6NBoVAgQJ6U1MVXOaj8PK2l7WJ3RER9xtqwdhxkhw/edit?usp=sharing"",""ชัยนาท!I387"")"),0)</f>
        <v>0</v>
      </c>
      <c r="J492" s="189">
        <f ca="1">IFERROR(__xludf.DUMMYFUNCTION("IMPORTRANGE(""https://docs.google.com/spreadsheets/d/1SX6NBoVAgQJ6U1MVXOaj8PK2l7WJ3RER9xtqwdhxkhw/edit?usp=sharing"",""ชัยนาท!J387"")"),0)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IFERROR(__xludf.DUMMYFUNCTION("IMPORTRANGE(""https://docs.google.com/spreadsheets/d/1SX6NBoVAgQJ6U1MVXOaj8PK2l7WJ3RER9xtqwdhxkhw/edit?usp=sharing"",""ชัยนาท!I388"")"),0)</f>
        <v>0</v>
      </c>
      <c r="J493" s="189">
        <f ca="1">IFERROR(__xludf.DUMMYFUNCTION("IMPORTRANGE(""https://docs.google.com/spreadsheets/d/1SX6NBoVAgQJ6U1MVXOaj8PK2l7WJ3RER9xtqwdhxkhw/edit?usp=sharing"",""ชัยนาท!J388"")"),0)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IFERROR(__xludf.DUMMYFUNCTION("IMPORTRANGE(""https://docs.google.com/spreadsheets/d/1SX6NBoVAgQJ6U1MVXOaj8PK2l7WJ3RER9xtqwdhxkhw/edit?usp=sharing"",""ชัยนาท!I389"")"),0)</f>
        <v>0</v>
      </c>
      <c r="J494" s="436">
        <f ca="1">IFERROR(__xludf.DUMMYFUNCTION("IMPORTRANGE(""https://docs.google.com/spreadsheets/d/1SX6NBoVAgQJ6U1MVXOaj8PK2l7WJ3RER9xtqwdhxkhw/edit?usp=sharing"",""ชัยนาท!J389"")"),0)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IFERROR(__xludf.DUMMYFUNCTION("IMPORTRANGE(""https://docs.google.com/spreadsheets/d/1SX6NBoVAgQJ6U1MVXOaj8PK2l7WJ3RER9xtqwdhxkhw/edit?usp=sharing"",""ชัยนาท!I390"")"),0)</f>
        <v>0</v>
      </c>
      <c r="J495" s="436">
        <f ca="1">IFERROR(__xludf.DUMMYFUNCTION("IMPORTRANGE(""https://docs.google.com/spreadsheets/d/1SX6NBoVAgQJ6U1MVXOaj8PK2l7WJ3RER9xtqwdhxkhw/edit?usp=sharing"",""ชัยนาท!J390"")"),0)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IFERROR(__xludf.DUMMYFUNCTION("IMPORTRANGE(""https://docs.google.com/spreadsheets/d/1SX6NBoVAgQJ6U1MVXOaj8PK2l7WJ3RER9xtqwdhxkhw/edit?usp=sharing"",""ชัยนาท!I391"")"),0)</f>
        <v>0</v>
      </c>
      <c r="J496" s="436">
        <f ca="1">IFERROR(__xludf.DUMMYFUNCTION("IMPORTRANGE(""https://docs.google.com/spreadsheets/d/1SX6NBoVAgQJ6U1MVXOaj8PK2l7WJ3RER9xtqwdhxkhw/edit?usp=sharing"",""ชัยนาท!J391"")"),0)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IFERROR(__xludf.DUMMYFUNCTION("IMPORTRANGE(""https://docs.google.com/spreadsheets/d/1SX6NBoVAgQJ6U1MVXOaj8PK2l7WJ3RER9xtqwdhxkhw/edit?usp=sharing"",""ชัยนาท!I392"")"),115)</f>
        <v>115</v>
      </c>
      <c r="J497" s="443">
        <f ca="1">IFERROR(__xludf.DUMMYFUNCTION("IMPORTRANGE(""https://docs.google.com/spreadsheets/d/1SX6NBoVAgQJ6U1MVXOaj8PK2l7WJ3RER9xtqwdhxkhw/edit?usp=sharing"",""ชัยนาท!J392"")"),115)</f>
        <v>115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IFERROR(__xludf.DUMMYFUNCTION("IMPORTRANGE(""https://docs.google.com/spreadsheets/d/1SX6NBoVAgQJ6U1MVXOaj8PK2l7WJ3RER9xtqwdhxkhw/edit?usp=sharing"",""ชัยนาท!I393"")"),115)</f>
        <v>115</v>
      </c>
      <c r="J498" s="420">
        <f ca="1">IFERROR(__xludf.DUMMYFUNCTION("IMPORTRANGE(""https://docs.google.com/spreadsheets/d/1SX6NBoVAgQJ6U1MVXOaj8PK2l7WJ3RER9xtqwdhxkhw/edit?usp=sharing"",""ชัยนาท!J393"")"),115)</f>
        <v>115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IFERROR(__xludf.DUMMYFUNCTION("IMPORTRANGE(""https://docs.google.com/spreadsheets/d/1SX6NBoVAgQJ6U1MVXOaj8PK2l7WJ3RER9xtqwdhxkhw/edit?usp=sharing"",""ชัยนาท!I394"")"),6)</f>
        <v>6</v>
      </c>
      <c r="J499" s="420">
        <f ca="1">IFERROR(__xludf.DUMMYFUNCTION("IMPORTRANGE(""https://docs.google.com/spreadsheets/d/1SX6NBoVAgQJ6U1MVXOaj8PK2l7WJ3RER9xtqwdhxkhw/edit?usp=sharing"",""ชัยนาท!J394"")"),6)</f>
        <v>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IFERROR(__xludf.DUMMYFUNCTION("IMPORTRANGE(""https://docs.google.com/spreadsheets/d/1SX6NBoVAgQJ6U1MVXOaj8PK2l7WJ3RER9xtqwdhxkhw/edit?usp=sharing"",""ชัยนาท!I395"")"),0)</f>
        <v>0</v>
      </c>
      <c r="J500" s="162">
        <f ca="1">IFERROR(__xludf.DUMMYFUNCTION("IMPORTRANGE(""https://docs.google.com/spreadsheets/d/1SX6NBoVAgQJ6U1MVXOaj8PK2l7WJ3RER9xtqwdhxkhw/edit?usp=sharing"",""ชัยนาท!J395"")"),115)</f>
        <v>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IFERROR(__xludf.DUMMYFUNCTION("IMPORTRANGE(""https://docs.google.com/spreadsheets/d/1SX6NBoVAgQJ6U1MVXOaj8PK2l7WJ3RER9xtqwdhxkhw/edit?usp=sharing"",""ชัยนาท!I396"")"),0)</f>
        <v>0</v>
      </c>
      <c r="J501" s="162">
        <f ca="1">IFERROR(__xludf.DUMMYFUNCTION("IMPORTRANGE(""https://docs.google.com/spreadsheets/d/1SX6NBoVAgQJ6U1MVXOaj8PK2l7WJ3RER9xtqwdhxkhw/edit?usp=sharing"",""ชัยนาท!J396"")"),6)</f>
        <v>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IFERROR(__xludf.DUMMYFUNCTION("IMPORTRANGE(""https://docs.google.com/spreadsheets/d/1SX6NBoVAgQJ6U1MVXOaj8PK2l7WJ3RER9xtqwdhxkhw/edit?usp=sharing"",""ชัยนาท!I397"")"),0)</f>
        <v>0</v>
      </c>
      <c r="J502" s="189">
        <f ca="1">IFERROR(__xludf.DUMMYFUNCTION("IMPORTRANGE(""https://docs.google.com/spreadsheets/d/1SX6NBoVAgQJ6U1MVXOaj8PK2l7WJ3RER9xtqwdhxkhw/edit?usp=sharing"",""ชัยนาท!J397"")"),115)</f>
        <v>115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IFERROR(__xludf.DUMMYFUNCTION("IMPORTRANGE(""https://docs.google.com/spreadsheets/d/1SX6NBoVAgQJ6U1MVXOaj8PK2l7WJ3RER9xtqwdhxkhw/edit?usp=sharing"",""ชัยนาท!I398"")"),0)</f>
        <v>0</v>
      </c>
      <c r="J503" s="198">
        <f ca="1">IFERROR(__xludf.DUMMYFUNCTION("IMPORTRANGE(""https://docs.google.com/spreadsheets/d/1SX6NBoVAgQJ6U1MVXOaj8PK2l7WJ3RER9xtqwdhxkhw/edit?usp=sharing"",""ชัยนาท!J398"")"),6)</f>
        <v>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IFERROR(__xludf.DUMMYFUNCTION("IMPORTRANGE(""https://docs.google.com/spreadsheets/d/1SX6NBoVAgQJ6U1MVXOaj8PK2l7WJ3RER9xtqwdhxkhw/edit?usp=sharing"",""ชัยนาท!I399"")"),0)</f>
        <v>0</v>
      </c>
      <c r="J504" s="189">
        <f ca="1">IFERROR(__xludf.DUMMYFUNCTION("IMPORTRANGE(""https://docs.google.com/spreadsheets/d/1SX6NBoVAgQJ6U1MVXOaj8PK2l7WJ3RER9xtqwdhxkhw/edit?usp=sharing"",""ชัยนาท!J399"")"),0)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IFERROR(__xludf.DUMMYFUNCTION("IMPORTRANGE(""https://docs.google.com/spreadsheets/d/1SX6NBoVAgQJ6U1MVXOaj8PK2l7WJ3RER9xtqwdhxkhw/edit?usp=sharing"",""ชัยนาท!I400"")"),0)</f>
        <v>0</v>
      </c>
      <c r="J505" s="198">
        <f ca="1">IFERROR(__xludf.DUMMYFUNCTION("IMPORTRANGE(""https://docs.google.com/spreadsheets/d/1SX6NBoVAgQJ6U1MVXOaj8PK2l7WJ3RER9xtqwdhxkhw/edit?usp=sharing"",""ชัยนาท!J400"")"),0)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IFERROR(__xludf.DUMMYFUNCTION("IMPORTRANGE(""https://docs.google.com/spreadsheets/d/1SX6NBoVAgQJ6U1MVXOaj8PK2l7WJ3RER9xtqwdhxkhw/edit?usp=sharing"",""ชัยนาท!I401"")"),0)</f>
        <v>0</v>
      </c>
      <c r="J506" s="189">
        <f ca="1">IFERROR(__xludf.DUMMYFUNCTION("IMPORTRANGE(""https://docs.google.com/spreadsheets/d/1SX6NBoVAgQJ6U1MVXOaj8PK2l7WJ3RER9xtqwdhxkhw/edit?usp=sharing"",""ชัยนาท!J401"")"),0)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IFERROR(__xludf.DUMMYFUNCTION("IMPORTRANGE(""https://docs.google.com/spreadsheets/d/1SX6NBoVAgQJ6U1MVXOaj8PK2l7WJ3RER9xtqwdhxkhw/edit?usp=sharing"",""ชัยนาท!I402"")"),0)</f>
        <v>0</v>
      </c>
      <c r="J507" s="198">
        <f ca="1">IFERROR(__xludf.DUMMYFUNCTION("IMPORTRANGE(""https://docs.google.com/spreadsheets/d/1SX6NBoVAgQJ6U1MVXOaj8PK2l7WJ3RER9xtqwdhxkhw/edit?usp=sharing"",""ชัยนาท!J402"")"),0)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IFERROR(__xludf.DUMMYFUNCTION("IMPORTRANGE(""https://docs.google.com/spreadsheets/d/1SX6NBoVAgQJ6U1MVXOaj8PK2l7WJ3RER9xtqwdhxkhw/edit?usp=sharing"",""ชัยนาท!I403"")"),0)</f>
        <v>0</v>
      </c>
      <c r="J508" s="162">
        <f ca="1">IFERROR(__xludf.DUMMYFUNCTION("IMPORTRANGE(""https://docs.google.com/spreadsheets/d/1SX6NBoVAgQJ6U1MVXOaj8PK2l7WJ3RER9xtqwdhxkhw/edit?usp=sharing"",""ชัยนาท!J403"")"),0)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IFERROR(__xludf.DUMMYFUNCTION("IMPORTRANGE(""https://docs.google.com/spreadsheets/d/1SX6NBoVAgQJ6U1MVXOaj8PK2l7WJ3RER9xtqwdhxkhw/edit?usp=sharing"",""ชัยนาท!I404"")"),0)</f>
        <v>0</v>
      </c>
      <c r="J509" s="162">
        <f ca="1">IFERROR(__xludf.DUMMYFUNCTION("IMPORTRANGE(""https://docs.google.com/spreadsheets/d/1SX6NBoVAgQJ6U1MVXOaj8PK2l7WJ3RER9xtqwdhxkhw/edit?usp=sharing"",""ชัยนาท!J404"")"),0)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IFERROR(__xludf.DUMMYFUNCTION("IMPORTRANGE(""https://docs.google.com/spreadsheets/d/1SX6NBoVAgQJ6U1MVXOaj8PK2l7WJ3RER9xtqwdhxkhw/edit?usp=sharing"",""ชัยนาท!I405"")"),0)</f>
        <v>0</v>
      </c>
      <c r="J510" s="198">
        <f ca="1">IFERROR(__xludf.DUMMYFUNCTION("IMPORTRANGE(""https://docs.google.com/spreadsheets/d/1SX6NBoVAgQJ6U1MVXOaj8PK2l7WJ3RER9xtqwdhxkhw/edit?usp=sharing"",""ชัยนาท!J405"")"),0)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IFERROR(__xludf.DUMMYFUNCTION("IMPORTRANGE(""https://docs.google.com/spreadsheets/d/1SX6NBoVAgQJ6U1MVXOaj8PK2l7WJ3RER9xtqwdhxkhw/edit?usp=sharing"",""ชัยนาท!I406"")"),0)</f>
        <v>0</v>
      </c>
      <c r="J511" s="198">
        <f ca="1">IFERROR(__xludf.DUMMYFUNCTION("IMPORTRANGE(""https://docs.google.com/spreadsheets/d/1SX6NBoVAgQJ6U1MVXOaj8PK2l7WJ3RER9xtqwdhxkhw/edit?usp=sharing"",""ชัยนาท!J406"")"),0)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IFERROR(__xludf.DUMMYFUNCTION("IMPORTRANGE(""https://docs.google.com/spreadsheets/d/1SX6NBoVAgQJ6U1MVXOaj8PK2l7WJ3RER9xtqwdhxkhw/edit?usp=sharing"",""ชัยนาท!I407"")"),0)</f>
        <v>0</v>
      </c>
      <c r="J512" s="198">
        <f ca="1">IFERROR(__xludf.DUMMYFUNCTION("IMPORTRANGE(""https://docs.google.com/spreadsheets/d/1SX6NBoVAgQJ6U1MVXOaj8PK2l7WJ3RER9xtqwdhxkhw/edit?usp=sharing"",""ชัยนาท!J407"")"),0)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IFERROR(__xludf.DUMMYFUNCTION("IMPORTRANGE(""https://docs.google.com/spreadsheets/d/1SX6NBoVAgQJ6U1MVXOaj8PK2l7WJ3RER9xtqwdhxkhw/edit?usp=sharing"",""ชัยนาท!I408"")"),0)</f>
        <v>0</v>
      </c>
      <c r="J513" s="198">
        <f ca="1">IFERROR(__xludf.DUMMYFUNCTION("IMPORTRANGE(""https://docs.google.com/spreadsheets/d/1SX6NBoVAgQJ6U1MVXOaj8PK2l7WJ3RER9xtqwdhxkhw/edit?usp=sharing"",""ชัยนาท!J408"")"),0)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IFERROR(__xludf.DUMMYFUNCTION("IMPORTRANGE(""https://docs.google.com/spreadsheets/d/1SX6NBoVAgQJ6U1MVXOaj8PK2l7WJ3RER9xtqwdhxkhw/edit?usp=sharing"",""ชัยนาท!I409"")"),0)</f>
        <v>0</v>
      </c>
      <c r="J514" s="198">
        <f ca="1">IFERROR(__xludf.DUMMYFUNCTION("IMPORTRANGE(""https://docs.google.com/spreadsheets/d/1SX6NBoVAgQJ6U1MVXOaj8PK2l7WJ3RER9xtqwdhxkhw/edit?usp=sharing"",""ชัยนาท!J409"")"),0)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IFERROR(__xludf.DUMMYFUNCTION("IMPORTRANGE(""https://docs.google.com/spreadsheets/d/1SX6NBoVAgQJ6U1MVXOaj8PK2l7WJ3RER9xtqwdhxkhw/edit?usp=sharing"",""ชัยนาท!I410"")"),0)</f>
        <v>0</v>
      </c>
      <c r="J515" s="198">
        <f ca="1">IFERROR(__xludf.DUMMYFUNCTION("IMPORTRANGE(""https://docs.google.com/spreadsheets/d/1SX6NBoVAgQJ6U1MVXOaj8PK2l7WJ3RER9xtqwdhxkhw/edit?usp=sharing"",""ชัยนาท!J410"")"),0)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IFERROR(__xludf.DUMMYFUNCTION("IMPORTRANGE(""https://docs.google.com/spreadsheets/d/1SX6NBoVAgQJ6U1MVXOaj8PK2l7WJ3RER9xtqwdhxkhw/edit?usp=sharing"",""ชัยนาท!I411"")"),0)</f>
        <v>0</v>
      </c>
      <c r="J516" s="268">
        <f ca="1">IFERROR(__xludf.DUMMYFUNCTION("IMPORTRANGE(""https://docs.google.com/spreadsheets/d/1SX6NBoVAgQJ6U1MVXOaj8PK2l7WJ3RER9xtqwdhxkhw/edit?usp=sharing"",""ชัยนาท!J411"")"),0)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IFERROR(__xludf.DUMMYFUNCTION("IMPORTRANGE(""https://docs.google.com/spreadsheets/d/1SX6NBoVAgQJ6U1MVXOaj8PK2l7WJ3RER9xtqwdhxkhw/edit?usp=sharing"",""ชัยนาท!I412"")"),0)</f>
        <v>0</v>
      </c>
      <c r="J517" s="285">
        <f ca="1">IFERROR(__xludf.DUMMYFUNCTION("IMPORTRANGE(""https://docs.google.com/spreadsheets/d/1SX6NBoVAgQJ6U1MVXOaj8PK2l7WJ3RER9xtqwdhxkhw/edit?usp=sharing"",""ชัยนาท!J412"")"),0)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IFERROR(__xludf.DUMMYFUNCTION("IMPORTRANGE(""https://docs.google.com/spreadsheets/d/1SX6NBoVAgQJ6U1MVXOaj8PK2l7WJ3RER9xtqwdhxkhw/edit?usp=sharing"",""ชัยนาท!I413"")"),0)</f>
        <v>0</v>
      </c>
      <c r="J518" s="285">
        <f ca="1">IFERROR(__xludf.DUMMYFUNCTION("IMPORTRANGE(""https://docs.google.com/spreadsheets/d/1SX6NBoVAgQJ6U1MVXOaj8PK2l7WJ3RER9xtqwdhxkhw/edit?usp=sharing"",""ชัยนาท!J413"")"),0)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IFERROR(__xludf.DUMMYFUNCTION("IMPORTRANGE(""https://docs.google.com/spreadsheets/d/1SX6NBoVAgQJ6U1MVXOaj8PK2l7WJ3RER9xtqwdhxkhw/edit?usp=sharing"",""ชัยนาท!I414"")"),0)</f>
        <v>0</v>
      </c>
      <c r="J519" s="188">
        <f ca="1">IFERROR(__xludf.DUMMYFUNCTION("IMPORTRANGE(""https://docs.google.com/spreadsheets/d/1SX6NBoVAgQJ6U1MVXOaj8PK2l7WJ3RER9xtqwdhxkhw/edit?usp=sharing"",""ชัยนาท!J414"")"),0)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IFERROR(__xludf.DUMMYFUNCTION("IMPORTRANGE(""https://docs.google.com/spreadsheets/d/1SX6NBoVAgQJ6U1MVXOaj8PK2l7WJ3RER9xtqwdhxkhw/edit?usp=sharing"",""ชัยนาท!I415"")"),0)</f>
        <v>0</v>
      </c>
      <c r="J520" s="188">
        <f ca="1">IFERROR(__xludf.DUMMYFUNCTION("IMPORTRANGE(""https://docs.google.com/spreadsheets/d/1SX6NBoVAgQJ6U1MVXOaj8PK2l7WJ3RER9xtqwdhxkhw/edit?usp=sharing"",""ชัยนาท!J415"")"),0)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IFERROR(__xludf.DUMMYFUNCTION("IMPORTRANGE(""https://docs.google.com/spreadsheets/d/1SX6NBoVAgQJ6U1MVXOaj8PK2l7WJ3RER9xtqwdhxkhw/edit?usp=sharing"",""ชัยนาท!I416"")"),0)</f>
        <v>0</v>
      </c>
      <c r="J521" s="188">
        <f ca="1">IFERROR(__xludf.DUMMYFUNCTION("IMPORTRANGE(""https://docs.google.com/spreadsheets/d/1SX6NBoVAgQJ6U1MVXOaj8PK2l7WJ3RER9xtqwdhxkhw/edit?usp=sharing"",""ชัยนาท!J416"")"),0)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IFERROR(__xludf.DUMMYFUNCTION("IMPORTRANGE(""https://docs.google.com/spreadsheets/d/1SX6NBoVAgQJ6U1MVXOaj8PK2l7WJ3RER9xtqwdhxkhw/edit?usp=sharing"",""ชัยนาท!I417"")"),0)</f>
        <v>0</v>
      </c>
      <c r="J522" s="188">
        <f ca="1">IFERROR(__xludf.DUMMYFUNCTION("IMPORTRANGE(""https://docs.google.com/spreadsheets/d/1SX6NBoVAgQJ6U1MVXOaj8PK2l7WJ3RER9xtqwdhxkhw/edit?usp=sharing"",""ชัยนาท!J417"")"),0)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IFERROR(__xludf.DUMMYFUNCTION("IMPORTRANGE(""https://docs.google.com/spreadsheets/d/1SX6NBoVAgQJ6U1MVXOaj8PK2l7WJ3RER9xtqwdhxkhw/edit?usp=sharing"",""ชัยนาท!I418"")"),0)</f>
        <v>0</v>
      </c>
      <c r="J523" s="188">
        <f ca="1">IFERROR(__xludf.DUMMYFUNCTION("IMPORTRANGE(""https://docs.google.com/spreadsheets/d/1SX6NBoVAgQJ6U1MVXOaj8PK2l7WJ3RER9xtqwdhxkhw/edit?usp=sharing"",""ชัยนาท!J418"")"),0)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IFERROR(__xludf.DUMMYFUNCTION("IMPORTRANGE(""https://docs.google.com/spreadsheets/d/1SX6NBoVAgQJ6U1MVXOaj8PK2l7WJ3RER9xtqwdhxkhw/edit?usp=sharing"",""ชัยนาท!I419"")"),0)</f>
        <v>0</v>
      </c>
      <c r="J524" s="188">
        <f ca="1">IFERROR(__xludf.DUMMYFUNCTION("IMPORTRANGE(""https://docs.google.com/spreadsheets/d/1SX6NBoVAgQJ6U1MVXOaj8PK2l7WJ3RER9xtqwdhxkhw/edit?usp=sharing"",""ชัยนาท!J419"")"),0)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IFERROR(__xludf.DUMMYFUNCTION("IMPORTRANGE(""https://docs.google.com/spreadsheets/d/1SX6NBoVAgQJ6U1MVXOaj8PK2l7WJ3RER9xtqwdhxkhw/edit?usp=sharing"",""ชัยนาท!I420"")"),0)</f>
        <v>0</v>
      </c>
      <c r="J525" s="285">
        <f ca="1">IFERROR(__xludf.DUMMYFUNCTION("IMPORTRANGE(""https://docs.google.com/spreadsheets/d/1SX6NBoVAgQJ6U1MVXOaj8PK2l7WJ3RER9xtqwdhxkhw/edit?usp=sharing"",""ชัยนาท!J420"")"),0)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IFERROR(__xludf.DUMMYFUNCTION("IMPORTRANGE(""https://docs.google.com/spreadsheets/d/1SX6NBoVAgQJ6U1MVXOaj8PK2l7WJ3RER9xtqwdhxkhw/edit?usp=sharing"",""ชัยนาท!I421"")"),0)</f>
        <v>0</v>
      </c>
      <c r="J526" s="285">
        <f ca="1">IFERROR(__xludf.DUMMYFUNCTION("IMPORTRANGE(""https://docs.google.com/spreadsheets/d/1SX6NBoVAgQJ6U1MVXOaj8PK2l7WJ3RER9xtqwdhxkhw/edit?usp=sharing"",""ชัยนาท!J421"")"),0)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IFERROR(__xludf.DUMMYFUNCTION("IMPORTRANGE(""https://docs.google.com/spreadsheets/d/1SX6NBoVAgQJ6U1MVXOaj8PK2l7WJ3RER9xtqwdhxkhw/edit?usp=sharing"",""ชัยนาท!I422"")"),0)</f>
        <v>0</v>
      </c>
      <c r="J527" s="198">
        <f ca="1">IFERROR(__xludf.DUMMYFUNCTION("IMPORTRANGE(""https://docs.google.com/spreadsheets/d/1SX6NBoVAgQJ6U1MVXOaj8PK2l7WJ3RER9xtqwdhxkhw/edit?usp=sharing"",""ชัยนาท!J422"")"),0)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IFERROR(__xludf.DUMMYFUNCTION("IMPORTRANGE(""https://docs.google.com/spreadsheets/d/1SX6NBoVAgQJ6U1MVXOaj8PK2l7WJ3RER9xtqwdhxkhw/edit?usp=sharing"",""ชัยนาท!I423"")"),0)</f>
        <v>0</v>
      </c>
      <c r="J528" s="198">
        <f ca="1">IFERROR(__xludf.DUMMYFUNCTION("IMPORTRANGE(""https://docs.google.com/spreadsheets/d/1SX6NBoVAgQJ6U1MVXOaj8PK2l7WJ3RER9xtqwdhxkhw/edit?usp=sharing"",""ชัยนาท!J423"")"),0)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IFERROR(__xludf.DUMMYFUNCTION("IMPORTRANGE(""https://docs.google.com/spreadsheets/d/1SX6NBoVAgQJ6U1MVXOaj8PK2l7WJ3RER9xtqwdhxkhw/edit?usp=sharing"",""ชัยนาท!I424"")"),0)</f>
        <v>0</v>
      </c>
      <c r="J529" s="198">
        <f ca="1">IFERROR(__xludf.DUMMYFUNCTION("IMPORTRANGE(""https://docs.google.com/spreadsheets/d/1SX6NBoVAgQJ6U1MVXOaj8PK2l7WJ3RER9xtqwdhxkhw/edit?usp=sharing"",""ชัยนาท!J424"")"),0)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IFERROR(__xludf.DUMMYFUNCTION("IMPORTRANGE(""https://docs.google.com/spreadsheets/d/1SX6NBoVAgQJ6U1MVXOaj8PK2l7WJ3RER9xtqwdhxkhw/edit?usp=sharing"",""ชัยนาท!I425"")"),0)</f>
        <v>0</v>
      </c>
      <c r="J530" s="198">
        <f ca="1">IFERROR(__xludf.DUMMYFUNCTION("IMPORTRANGE(""https://docs.google.com/spreadsheets/d/1SX6NBoVAgQJ6U1MVXOaj8PK2l7WJ3RER9xtqwdhxkhw/edit?usp=sharing"",""ชัยนาท!J425"")"),0)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IFERROR(__xludf.DUMMYFUNCTION("IMPORTRANGE(""https://docs.google.com/spreadsheets/d/1SX6NBoVAgQJ6U1MVXOaj8PK2l7WJ3RER9xtqwdhxkhw/edit?usp=sharing"",""ชัยนาท!I426"")"),0)</f>
        <v>0</v>
      </c>
      <c r="J531" s="198">
        <f ca="1">IFERROR(__xludf.DUMMYFUNCTION("IMPORTRANGE(""https://docs.google.com/spreadsheets/d/1SX6NBoVAgQJ6U1MVXOaj8PK2l7WJ3RER9xtqwdhxkhw/edit?usp=sharing"",""ชัยนาท!J426"")"),0)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IFERROR(__xludf.DUMMYFUNCTION("IMPORTRANGE(""https://docs.google.com/spreadsheets/d/1SX6NBoVAgQJ6U1MVXOaj8PK2l7WJ3RER9xtqwdhxkhw/edit?usp=sharing"",""ชัยนาท!I427"")"),0)</f>
        <v>0</v>
      </c>
      <c r="J532" s="466">
        <f ca="1">IFERROR(__xludf.DUMMYFUNCTION("IMPORTRANGE(""https://docs.google.com/spreadsheets/d/1SX6NBoVAgQJ6U1MVXOaj8PK2l7WJ3RER9xtqwdhxkhw/edit?usp=sharing"",""ชัยนาท!J427"")"),0)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IFERROR(__xludf.DUMMYFUNCTION("IMPORTRANGE(""https://docs.google.com/spreadsheets/d/1SX6NBoVAgQJ6U1MVXOaj8PK2l7WJ3RER9xtqwdhxkhw/edit?usp=sharing"",""ชัยนาท!I428"")"),22)</f>
        <v>22</v>
      </c>
      <c r="J533" s="410">
        <f ca="1">IFERROR(__xludf.DUMMYFUNCTION("IMPORTRANGE(""https://docs.google.com/spreadsheets/d/1SX6NBoVAgQJ6U1MVXOaj8PK2l7WJ3RER9xtqwdhxkhw/edit?usp=sharing"",""ชัยนาท!J428"")"),22)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IFERROR(__xludf.DUMMYFUNCTION("IMPORTRANGE(""https://docs.google.com/spreadsheets/d/1SX6NBoVAgQJ6U1MVXOaj8PK2l7WJ3RER9xtqwdhxkhw/edit?usp=sharing"",""ชัยนาท!L428"")"),34340)</f>
        <v>34340</v>
      </c>
      <c r="M533" s="412"/>
      <c r="N533" s="412">
        <f ca="1">IFERROR(__xludf.DUMMYFUNCTION("IMPORTRANGE(""https://docs.google.com/spreadsheets/d/1SX6NBoVAgQJ6U1MVXOaj8PK2l7WJ3RER9xtqwdhxkhw/edit?usp=sharing"",""ชัยนาท!M428"")"),29260)</f>
        <v>29260</v>
      </c>
      <c r="O533" s="412">
        <f t="shared" ref="O533:O537" ca="1" si="118">+IF(L533&gt;0,N533*100/L533,0)</f>
        <v>85.206755969714621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IFERROR(__xludf.DUMMYFUNCTION("IMPORTRANGE(""https://docs.google.com/spreadsheets/d/1SX6NBoVAgQJ6U1MVXOaj8PK2l7WJ3RER9xtqwdhxkhw/edit?usp=sharing"",""ชัยนาท!L429"")"),0)</f>
        <v>0</v>
      </c>
      <c r="M534" s="164"/>
      <c r="N534" s="169">
        <f ca="1">IFERROR(__xludf.DUMMYFUNCTION("IMPORTRANGE(""https://docs.google.com/spreadsheets/d/1SX6NBoVAgQJ6U1MVXOaj8PK2l7WJ3RER9xtqwdhxkhw/edit?usp=sharing"",""ชัยนาท!M429"")"),0)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IFERROR(__xludf.DUMMYFUNCTION("IMPORTRANGE(""https://docs.google.com/spreadsheets/d/1SX6NBoVAgQJ6U1MVXOaj8PK2l7WJ3RER9xtqwdhxkhw/edit?usp=sharing"",""ชัยนาท!L430"")"),34340)</f>
        <v>34340</v>
      </c>
      <c r="M535" s="165"/>
      <c r="N535" s="169">
        <f ca="1">IFERROR(__xludf.DUMMYFUNCTION("IMPORTRANGE(""https://docs.google.com/spreadsheets/d/1SX6NBoVAgQJ6U1MVXOaj8PK2l7WJ3RER9xtqwdhxkhw/edit?usp=sharing"",""ชัยนาท!M430"")"),29260)</f>
        <v>29260</v>
      </c>
      <c r="O535" s="169">
        <f t="shared" ca="1" si="118"/>
        <v>85.206755969714621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IFERROR(__xludf.DUMMYFUNCTION("IMPORTRANGE(""https://docs.google.com/spreadsheets/d/1SX6NBoVAgQJ6U1MVXOaj8PK2l7WJ3RER9xtqwdhxkhw/edit?usp=sharing"",""ชัยนาท!L431"")"),0)</f>
        <v>0</v>
      </c>
      <c r="M536" s="169"/>
      <c r="N536" s="169">
        <f ca="1">IFERROR(__xludf.DUMMYFUNCTION("IMPORTRANGE(""https://docs.google.com/spreadsheets/d/1SX6NBoVAgQJ6U1MVXOaj8PK2l7WJ3RER9xtqwdhxkhw/edit?usp=sharing"",""ชัยนาท!M431"")"),0)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IFERROR(__xludf.DUMMYFUNCTION("IMPORTRANGE(""https://docs.google.com/spreadsheets/d/1SX6NBoVAgQJ6U1MVXOaj8PK2l7WJ3RER9xtqwdhxkhw/edit?usp=sharing"",""ชัยนาท!L432"")"),34340)</f>
        <v>34340</v>
      </c>
      <c r="M537" s="169"/>
      <c r="N537" s="169">
        <f ca="1">IFERROR(__xludf.DUMMYFUNCTION("IMPORTRANGE(""https://docs.google.com/spreadsheets/d/1SX6NBoVAgQJ6U1MVXOaj8PK2l7WJ3RER9xtqwdhxkhw/edit?usp=sharing"",""ชัยนาท!M432"")"),29260)</f>
        <v>29260</v>
      </c>
      <c r="O537" s="169">
        <f t="shared" ca="1" si="118"/>
        <v>85.206755969714621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IFERROR(__xludf.DUMMYFUNCTION("IMPORTRANGE(""https://docs.google.com/spreadsheets/d/1SX6NBoVAgQJ6U1MVXOaj8PK2l7WJ3RER9xtqwdhxkhw/edit?usp=sharing"",""ชัยนาท!M433"")"),18740)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IFERROR(__xludf.DUMMYFUNCTION("IMPORTRANGE(""https://docs.google.com/spreadsheets/d/1SX6NBoVAgQJ6U1MVXOaj8PK2l7WJ3RER9xtqwdhxkhw/edit?usp=sharing"",""ชัยนาท!M434"")"),0)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IFERROR(__xludf.DUMMYFUNCTION("IMPORTRANGE(""https://docs.google.com/spreadsheets/d/1SX6NBoVAgQJ6U1MVXOaj8PK2l7WJ3RER9xtqwdhxkhw/edit?usp=sharing"",""ชัยนาท!M435"")"),0)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IFERROR(__xludf.DUMMYFUNCTION("IMPORTRANGE(""https://docs.google.com/spreadsheets/d/1SX6NBoVAgQJ6U1MVXOaj8PK2l7WJ3RER9xtqwdhxkhw/edit?usp=sharing"",""ชัยนาท!M436"")"),10520)</f>
        <v>10520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IFERROR(__xludf.DUMMYFUNCTION("IMPORTRANGE(""https://docs.google.com/spreadsheets/d/1SX6NBoVAgQJ6U1MVXOaj8PK2l7WJ3RER9xtqwdhxkhw/edit?usp=sharing"",""ชัยนาท!J438"")"),0)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IFERROR(__xludf.DUMMYFUNCTION("IMPORTRANGE(""https://docs.google.com/spreadsheets/d/1SX6NBoVAgQJ6U1MVXOaj8PK2l7WJ3RER9xtqwdhxkhw/edit?usp=sharing"",""ชัยนาท!J439"")"),1)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IFERROR(__xludf.DUMMYFUNCTION("IMPORTRANGE(""https://docs.google.com/spreadsheets/d/1SX6NBoVAgQJ6U1MVXOaj8PK2l7WJ3RER9xtqwdhxkhw/edit?usp=sharing"",""ชัยนาท!J440"")"),1)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IFERROR(__xludf.DUMMYFUNCTION("IMPORTRANGE(""https://docs.google.com/spreadsheets/d/1SX6NBoVAgQJ6U1MVXOaj8PK2l7WJ3RER9xtqwdhxkhw/edit?usp=sharing"",""ชัยนาท!J441"")"),1)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IFERROR(__xludf.DUMMYFUNCTION("IMPORTRANGE(""https://docs.google.com/spreadsheets/d/1SX6NBoVAgQJ6U1MVXOaj8PK2l7WJ3RER9xtqwdhxkhw/edit?usp=sharing"",""ชัยนาท!I442"")"),22)</f>
        <v>22</v>
      </c>
      <c r="J547" s="189">
        <f ca="1">IFERROR(__xludf.DUMMYFUNCTION("IMPORTRANGE(""https://docs.google.com/spreadsheets/d/1SX6NBoVAgQJ6U1MVXOaj8PK2l7WJ3RER9xtqwdhxkhw/edit?usp=sharing"",""ชัยนาท!J442"")"),22)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IFERROR(__xludf.DUMMYFUNCTION("IMPORTRANGE(""https://docs.google.com/spreadsheets/d/1SX6NBoVAgQJ6U1MVXOaj8PK2l7WJ3RER9xtqwdhxkhw/edit?usp=sharing"",""ชัยนาท!J166"")"),0)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IFERROR(__xludf.DUMMYFUNCTION("IMPORTRANGE(""https://docs.google.com/spreadsheets/d/1SX6NBoVAgQJ6U1MVXOaj8PK2l7WJ3RER9xtqwdhxkhw/edit?usp=sharing"",""ชัยนาท!J444"")"),0)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IFERROR(__xludf.DUMMYFUNCTION("IMPORTRANGE(""https://docs.google.com/spreadsheets/d/1SX6NBoVAgQJ6U1MVXOaj8PK2l7WJ3RER9xtqwdhxkhw/edit?usp=sharing"",""ชัยนาท!J445"")"),0)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IFERROR(__xludf.DUMMYFUNCTION("IMPORTRANGE(""https://docs.google.com/spreadsheets/d/1SX6NBoVAgQJ6U1MVXOaj8PK2l7WJ3RER9xtqwdhxkhw/edit?usp=sharing"",""ชัยนาท!I446"")"),0)</f>
        <v>0</v>
      </c>
      <c r="J551" s="410">
        <f ca="1">IFERROR(__xludf.DUMMYFUNCTION("IMPORTRANGE(""https://docs.google.com/spreadsheets/d/1SX6NBoVAgQJ6U1MVXOaj8PK2l7WJ3RER9xtqwdhxkhw/edit?usp=sharing"",""ชัยนาท!J446"")"),0)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IFERROR(__xludf.DUMMYFUNCTION("IMPORTRANGE(""https://docs.google.com/spreadsheets/d/1SX6NBoVAgQJ6U1MVXOaj8PK2l7WJ3RER9xtqwdhxkhw/edit?usp=sharing"",""ชัยนาท!L446"")"),0)</f>
        <v>0</v>
      </c>
      <c r="M551" s="412"/>
      <c r="N551" s="412">
        <f ca="1">IFERROR(__xludf.DUMMYFUNCTION("IMPORTRANGE(""https://docs.google.com/spreadsheets/d/1SX6NBoVAgQJ6U1MVXOaj8PK2l7WJ3RER9xtqwdhxkhw/edit?usp=sharing"",""ชัยนาท!M446"")"),0)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IFERROR(__xludf.DUMMYFUNCTION("IMPORTRANGE(""https://docs.google.com/spreadsheets/d/1SX6NBoVAgQJ6U1MVXOaj8PK2l7WJ3RER9xtqwdhxkhw/edit?usp=sharing"",""ชัยนาท!L447"")"),0)</f>
        <v>0</v>
      </c>
      <c r="M552" s="164"/>
      <c r="N552" s="169">
        <f ca="1">IFERROR(__xludf.DUMMYFUNCTION("IMPORTRANGE(""https://docs.google.com/spreadsheets/d/1SX6NBoVAgQJ6U1MVXOaj8PK2l7WJ3RER9xtqwdhxkhw/edit?usp=sharing"",""ชัยนาท!M447"")"),0)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IFERROR(__xludf.DUMMYFUNCTION("IMPORTRANGE(""https://docs.google.com/spreadsheets/d/1SX6NBoVAgQJ6U1MVXOaj8PK2l7WJ3RER9xtqwdhxkhw/edit?usp=sharing"",""ชัยนาท!L448"")"),0)</f>
        <v>0</v>
      </c>
      <c r="M553" s="165"/>
      <c r="N553" s="169">
        <f ca="1">IFERROR(__xludf.DUMMYFUNCTION("IMPORTRANGE(""https://docs.google.com/spreadsheets/d/1SX6NBoVAgQJ6U1MVXOaj8PK2l7WJ3RER9xtqwdhxkhw/edit?usp=sharing"",""ชัยนาท!M448"")"),0)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IFERROR(__xludf.DUMMYFUNCTION("IMPORTRANGE(""https://docs.google.com/spreadsheets/d/1SX6NBoVAgQJ6U1MVXOaj8PK2l7WJ3RER9xtqwdhxkhw/edit?usp=sharing"",""ชัยนาท!L449"")"),0)</f>
        <v>0</v>
      </c>
      <c r="M554" s="169"/>
      <c r="N554" s="169">
        <f ca="1">IFERROR(__xludf.DUMMYFUNCTION("IMPORTRANGE(""https://docs.google.com/spreadsheets/d/1SX6NBoVAgQJ6U1MVXOaj8PK2l7WJ3RER9xtqwdhxkhw/edit?usp=sharing"",""ชัยนาท!M449"")"),0)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IFERROR(__xludf.DUMMYFUNCTION("IMPORTRANGE(""https://docs.google.com/spreadsheets/d/1SX6NBoVAgQJ6U1MVXOaj8PK2l7WJ3RER9xtqwdhxkhw/edit?usp=sharing"",""ชัยนาท!L450"")"),0)</f>
        <v>0</v>
      </c>
      <c r="M555" s="169"/>
      <c r="N555" s="169">
        <f ca="1">IFERROR(__xludf.DUMMYFUNCTION("IMPORTRANGE(""https://docs.google.com/spreadsheets/d/1SX6NBoVAgQJ6U1MVXOaj8PK2l7WJ3RER9xtqwdhxkhw/edit?usp=sharing"",""ชัยนาท!M450"")"),0)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IFERROR(__xludf.DUMMYFUNCTION("IMPORTRANGE(""https://docs.google.com/spreadsheets/d/1SX6NBoVAgQJ6U1MVXOaj8PK2l7WJ3RER9xtqwdhxkhw/edit?usp=sharing"",""ชัยนาท!M451"")"),0)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IFERROR(__xludf.DUMMYFUNCTION("IMPORTRANGE(""https://docs.google.com/spreadsheets/d/1SX6NBoVAgQJ6U1MVXOaj8PK2l7WJ3RER9xtqwdhxkhw/edit?usp=sharing"",""ชัยนาท!M452"")"),0)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IFERROR(__xludf.DUMMYFUNCTION("IMPORTRANGE(""https://docs.google.com/spreadsheets/d/1SX6NBoVAgQJ6U1MVXOaj8PK2l7WJ3RER9xtqwdhxkhw/edit?usp=sharing"",""ชัยนาท!M453"")"),0)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IFERROR(__xludf.DUMMYFUNCTION("IMPORTRANGE(""https://docs.google.com/spreadsheets/d/1SX6NBoVAgQJ6U1MVXOaj8PK2l7WJ3RER9xtqwdhxkhw/edit?usp=sharing"",""ชัยนาท!M454"")"),0)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IFERROR(__xludf.DUMMYFUNCTION("IMPORTRANGE(""https://docs.google.com/spreadsheets/d/1SX6NBoVAgQJ6U1MVXOaj8PK2l7WJ3RER9xtqwdhxkhw/edit?usp=sharing"",""ชัยนาท!I455"")"),0)</f>
        <v>0</v>
      </c>
      <c r="J560" s="162">
        <f ca="1">IFERROR(__xludf.DUMMYFUNCTION("IMPORTRANGE(""https://docs.google.com/spreadsheets/d/1SX6NBoVAgQJ6U1MVXOaj8PK2l7WJ3RER9xtqwdhxkhw/edit?usp=sharing"",""ชัยนาท!J455"")"),0)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IFERROR(__xludf.DUMMYFUNCTION("IMPORTRANGE(""https://docs.google.com/spreadsheets/d/1SX6NBoVAgQJ6U1MVXOaj8PK2l7WJ3RER9xtqwdhxkhw/edit?usp=sharing"",""ชัยนาท!I456"")"),0)</f>
        <v>0</v>
      </c>
      <c r="J561" s="204">
        <f ca="1">IFERROR(__xludf.DUMMYFUNCTION("IMPORTRANGE(""https://docs.google.com/spreadsheets/d/1SX6NBoVAgQJ6U1MVXOaj8PK2l7WJ3RER9xtqwdhxkhw/edit?usp=sharing"",""ชัยนาท!J456"")"),0)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IFERROR(__xludf.DUMMYFUNCTION("IMPORTRANGE(""https://docs.google.com/spreadsheets/d/1SX6NBoVAgQJ6U1MVXOaj8PK2l7WJ3RER9xtqwdhxkhw/edit?usp=sharing"",""ชัยนาท!I459"")"),200)</f>
        <v>200</v>
      </c>
      <c r="J564" s="371">
        <f ca="1">IFERROR(__xludf.DUMMYFUNCTION("IMPORTRANGE(""https://docs.google.com/spreadsheets/d/1SX6NBoVAgQJ6U1MVXOaj8PK2l7WJ3RER9xtqwdhxkhw/edit?usp=sharing"",""ชัยนาท!J459"")"),1676)</f>
        <v>1676</v>
      </c>
      <c r="K564" s="372">
        <f ca="1">IF(I564&gt;0,J564*100/I564,0)</f>
        <v>838</v>
      </c>
      <c r="L564" s="373">
        <f ca="1">IFERROR(__xludf.DUMMYFUNCTION("IMPORTRANGE(""https://docs.google.com/spreadsheets/d/1SX6NBoVAgQJ6U1MVXOaj8PK2l7WJ3RER9xtqwdhxkhw/edit?usp=sharing"",""ชัยนาท!L459"")"),124800)</f>
        <v>124800</v>
      </c>
      <c r="M564" s="373"/>
      <c r="N564" s="373">
        <f ca="1">IFERROR(__xludf.DUMMYFUNCTION("IMPORTRANGE(""https://docs.google.com/spreadsheets/d/1SX6NBoVAgQJ6U1MVXOaj8PK2l7WJ3RER9xtqwdhxkhw/edit?usp=sharing"",""ชัยนาท!M459"")"),119100)</f>
        <v>119100</v>
      </c>
      <c r="O564" s="373">
        <f t="shared" ref="O564:O568" ca="1" si="122">+IF(L564&gt;0,N564*100/L564,0)</f>
        <v>95.432692307692307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IFERROR(__xludf.DUMMYFUNCTION("IMPORTRANGE(""https://docs.google.com/spreadsheets/d/1SX6NBoVAgQJ6U1MVXOaj8PK2l7WJ3RER9xtqwdhxkhw/edit?usp=sharing"",""ชัยนาท!L460"")"),0)</f>
        <v>0</v>
      </c>
      <c r="M565" s="164"/>
      <c r="N565" s="169">
        <f ca="1">IFERROR(__xludf.DUMMYFUNCTION("IMPORTRANGE(""https://docs.google.com/spreadsheets/d/1SX6NBoVAgQJ6U1MVXOaj8PK2l7WJ3RER9xtqwdhxkhw/edit?usp=sharing"",""ชัยนาท!M460"")"),0)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IFERROR(__xludf.DUMMYFUNCTION("IMPORTRANGE(""https://docs.google.com/spreadsheets/d/1SX6NBoVAgQJ6U1MVXOaj8PK2l7WJ3RER9xtqwdhxkhw/edit?usp=sharing"",""ชัยนาท!L461"")"),124800)</f>
        <v>124800</v>
      </c>
      <c r="M566" s="165"/>
      <c r="N566" s="169">
        <f ca="1">IFERROR(__xludf.DUMMYFUNCTION("IMPORTRANGE(""https://docs.google.com/spreadsheets/d/1SX6NBoVAgQJ6U1MVXOaj8PK2l7WJ3RER9xtqwdhxkhw/edit?usp=sharing"",""ชัยนาท!M461"")"),119100)</f>
        <v>119100</v>
      </c>
      <c r="O566" s="169">
        <f t="shared" ca="1" si="122"/>
        <v>95.432692307692307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IFERROR(__xludf.DUMMYFUNCTION("IMPORTRANGE(""https://docs.google.com/spreadsheets/d/1SX6NBoVAgQJ6U1MVXOaj8PK2l7WJ3RER9xtqwdhxkhw/edit?usp=sharing"",""ชัยนาท!L462"")"),0)</f>
        <v>0</v>
      </c>
      <c r="M567" s="169"/>
      <c r="N567" s="169">
        <f ca="1">IFERROR(__xludf.DUMMYFUNCTION("IMPORTRANGE(""https://docs.google.com/spreadsheets/d/1SX6NBoVAgQJ6U1MVXOaj8PK2l7WJ3RER9xtqwdhxkhw/edit?usp=sharing"",""ชัยนาท!M462"")"),0)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IFERROR(__xludf.DUMMYFUNCTION("IMPORTRANGE(""https://docs.google.com/spreadsheets/d/1SX6NBoVAgQJ6U1MVXOaj8PK2l7WJ3RER9xtqwdhxkhw/edit?usp=sharing"",""ชัยนาท!L463"")"),124800)</f>
        <v>124800</v>
      </c>
      <c r="M568" s="169"/>
      <c r="N568" s="169">
        <f ca="1">IFERROR(__xludf.DUMMYFUNCTION("IMPORTRANGE(""https://docs.google.com/spreadsheets/d/1SX6NBoVAgQJ6U1MVXOaj8PK2l7WJ3RER9xtqwdhxkhw/edit?usp=sharing"",""ชัยนาท!M463"")"),119100)</f>
        <v>119100</v>
      </c>
      <c r="O568" s="169">
        <f t="shared" ca="1" si="122"/>
        <v>95.432692307692307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IFERROR(__xludf.DUMMYFUNCTION("IMPORTRANGE(""https://docs.google.com/spreadsheets/d/1SX6NBoVAgQJ6U1MVXOaj8PK2l7WJ3RER9xtqwdhxkhw/edit?usp=sharing"",""ชัยนาท!M464"")"),0)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IFERROR(__xludf.DUMMYFUNCTION("IMPORTRANGE(""https://docs.google.com/spreadsheets/d/1SX6NBoVAgQJ6U1MVXOaj8PK2l7WJ3RER9xtqwdhxkhw/edit?usp=sharing"",""ชัยนาท!M465"")"),0)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IFERROR(__xludf.DUMMYFUNCTION("IMPORTRANGE(""https://docs.google.com/spreadsheets/d/1SX6NBoVAgQJ6U1MVXOaj8PK2l7WJ3RER9xtqwdhxkhw/edit?usp=sharing"",""ชัยนาท!M466"")"),99000)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IFERROR(__xludf.DUMMYFUNCTION("IMPORTRANGE(""https://docs.google.com/spreadsheets/d/1SX6NBoVAgQJ6U1MVXOaj8PK2l7WJ3RER9xtqwdhxkhw/edit?usp=sharing"",""ชัยนาท!M467"")"),20100)</f>
        <v>20100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IFERROR(__xludf.DUMMYFUNCTION("IMPORTRANGE(""https://docs.google.com/spreadsheets/d/1SX6NBoVAgQJ6U1MVXOaj8PK2l7WJ3RER9xtqwdhxkhw/edit?usp=sharing"",""ชัยนาท!I468"")"),200)</f>
        <v>200</v>
      </c>
      <c r="J573" s="420">
        <f ca="1">IFERROR(__xludf.DUMMYFUNCTION("IMPORTRANGE(""https://docs.google.com/spreadsheets/d/1SX6NBoVAgQJ6U1MVXOaj8PK2l7WJ3RER9xtqwdhxkhw/edit?usp=sharing"",""ชัยนาท!J468"")"),1676)</f>
        <v>1676</v>
      </c>
      <c r="K573" s="202">
        <f ca="1">IF(I573&gt;0,J573*100/I573,0)</f>
        <v>838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IFERROR(__xludf.DUMMYFUNCTION("IMPORTRANGE(""https://docs.google.com/spreadsheets/d/1SX6NBoVAgQJ6U1MVXOaj8PK2l7WJ3RER9xtqwdhxkhw/edit?usp=sharing"",""ชัยนาท!I470"")"),0)</f>
        <v>0</v>
      </c>
      <c r="J575" s="198">
        <f ca="1">IFERROR(__xludf.DUMMYFUNCTION("IMPORTRANGE(""https://docs.google.com/spreadsheets/d/1SX6NBoVAgQJ6U1MVXOaj8PK2l7WJ3RER9xtqwdhxkhw/edit?usp=sharing"",""ชัยนาท!J470"")"),4)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IFERROR(__xludf.DUMMYFUNCTION("IMPORTRANGE(""https://docs.google.com/spreadsheets/d/1SX6NBoVAgQJ6U1MVXOaj8PK2l7WJ3RER9xtqwdhxkhw/edit?usp=sharing"",""ชัยนาท!I471"")"),0)</f>
        <v>0</v>
      </c>
      <c r="J576" s="198">
        <f ca="1">IFERROR(__xludf.DUMMYFUNCTION("IMPORTRANGE(""https://docs.google.com/spreadsheets/d/1SX6NBoVAgQJ6U1MVXOaj8PK2l7WJ3RER9xtqwdhxkhw/edit?usp=sharing"",""ชัยนาท!J471"")"),72)</f>
        <v>72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IFERROR(__xludf.DUMMYFUNCTION("IMPORTRANGE(""https://docs.google.com/spreadsheets/d/1SX6NBoVAgQJ6U1MVXOaj8PK2l7WJ3RER9xtqwdhxkhw/edit?usp=sharing"",""ชัยนาท!I472"")"),0)</f>
        <v>0</v>
      </c>
      <c r="J577" s="189">
        <f ca="1">IFERROR(__xludf.DUMMYFUNCTION("IMPORTRANGE(""https://docs.google.com/spreadsheets/d/1SX6NBoVAgQJ6U1MVXOaj8PK2l7WJ3RER9xtqwdhxkhw/edit?usp=sharing"",""ชัยนาท!J472"")"),1604)</f>
        <v>1604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IFERROR(__xludf.DUMMYFUNCTION("IMPORTRANGE(""https://docs.google.com/spreadsheets/d/1SX6NBoVAgQJ6U1MVXOaj8PK2l7WJ3RER9xtqwdhxkhw/edit?usp=sharing"",""ชัยนาท!I473"")"),0)</f>
        <v>0</v>
      </c>
      <c r="J578" s="198">
        <f ca="1">IFERROR(__xludf.DUMMYFUNCTION("IMPORTRANGE(""https://docs.google.com/spreadsheets/d/1SX6NBoVAgQJ6U1MVXOaj8PK2l7WJ3RER9xtqwdhxkhw/edit?usp=sharing"",""ชัยนาท!J473"")"),0)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IFERROR(__xludf.DUMMYFUNCTION("IMPORTRANGE(""https://docs.google.com/spreadsheets/d/1SX6NBoVAgQJ6U1MVXOaj8PK2l7WJ3RER9xtqwdhxkhw/edit?usp=sharing"",""ชัยนาท!I474"")"),0)</f>
        <v>0</v>
      </c>
      <c r="J579" s="198">
        <f ca="1">IFERROR(__xludf.DUMMYFUNCTION("IMPORTRANGE(""https://docs.google.com/spreadsheets/d/1SX6NBoVAgQJ6U1MVXOaj8PK2l7WJ3RER9xtqwdhxkhw/edit?usp=sharing"",""ชัยนาท!J474"")"),0)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IFERROR(__xludf.DUMMYFUNCTION("IMPORTRANGE(""https://docs.google.com/spreadsheets/d/1SX6NBoVAgQJ6U1MVXOaj8PK2l7WJ3RER9xtqwdhxkhw/edit?usp=sharing"",""ชัยนาท!I475"")"),0)</f>
        <v>0</v>
      </c>
      <c r="J580" s="371">
        <f ca="1">IFERROR(__xludf.DUMMYFUNCTION("IMPORTRANGE(""https://docs.google.com/spreadsheets/d/1SX6NBoVAgQJ6U1MVXOaj8PK2l7WJ3RER9xtqwdhxkhw/edit?usp=sharing"",""ชัยนาท!J475"")"),7)</f>
        <v>7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IFERROR(__xludf.DUMMYFUNCTION("IMPORTRANGE(""https://docs.google.com/spreadsheets/d/1SX6NBoVAgQJ6U1MVXOaj8PK2l7WJ3RER9xtqwdhxkhw/edit?usp=sharing"",""ชัยนาท!L475"")"),0)</f>
        <v>0</v>
      </c>
      <c r="M580" s="373"/>
      <c r="N580" s="373">
        <f ca="1">IFERROR(__xludf.DUMMYFUNCTION("IMPORTRANGE(""https://docs.google.com/spreadsheets/d/1SX6NBoVAgQJ6U1MVXOaj8PK2l7WJ3RER9xtqwdhxkhw/edit?usp=sharing"",""ชัยนาท!M475"")"),0)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IFERROR(__xludf.DUMMYFUNCTION("IMPORTRANGE(""https://docs.google.com/spreadsheets/d/1SX6NBoVAgQJ6U1MVXOaj8PK2l7WJ3RER9xtqwdhxkhw/edit?usp=sharing"",""ชัยนาท!L476"")"),0)</f>
        <v>0</v>
      </c>
      <c r="M581" s="164"/>
      <c r="N581" s="169">
        <f ca="1">IFERROR(__xludf.DUMMYFUNCTION("IMPORTRANGE(""https://docs.google.com/spreadsheets/d/1SX6NBoVAgQJ6U1MVXOaj8PK2l7WJ3RER9xtqwdhxkhw/edit?usp=sharing"",""ชัยนาท!M476"")"),0)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IFERROR(__xludf.DUMMYFUNCTION("IMPORTRANGE(""https://docs.google.com/spreadsheets/d/1SX6NBoVAgQJ6U1MVXOaj8PK2l7WJ3RER9xtqwdhxkhw/edit?usp=sharing"",""ชัยนาท!L477"")"),0)</f>
        <v>0</v>
      </c>
      <c r="M582" s="165"/>
      <c r="N582" s="169">
        <f ca="1">IFERROR(__xludf.DUMMYFUNCTION("IMPORTRANGE(""https://docs.google.com/spreadsheets/d/1SX6NBoVAgQJ6U1MVXOaj8PK2l7WJ3RER9xtqwdhxkhw/edit?usp=sharing"",""ชัยนาท!M477"")"),0)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IFERROR(__xludf.DUMMYFUNCTION("IMPORTRANGE(""https://docs.google.com/spreadsheets/d/1SX6NBoVAgQJ6U1MVXOaj8PK2l7WJ3RER9xtqwdhxkhw/edit?usp=sharing"",""ชัยนาท!L478"")"),0)</f>
        <v>0</v>
      </c>
      <c r="M583" s="169"/>
      <c r="N583" s="169">
        <f ca="1">IFERROR(__xludf.DUMMYFUNCTION("IMPORTRANGE(""https://docs.google.com/spreadsheets/d/1SX6NBoVAgQJ6U1MVXOaj8PK2l7WJ3RER9xtqwdhxkhw/edit?usp=sharing"",""ชัยนาท!M478"")"),0)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IFERROR(__xludf.DUMMYFUNCTION("IMPORTRANGE(""https://docs.google.com/spreadsheets/d/1SX6NBoVAgQJ6U1MVXOaj8PK2l7WJ3RER9xtqwdhxkhw/edit?usp=sharing"",""ชัยนาท!L479"")"),0)</f>
        <v>0</v>
      </c>
      <c r="M584" s="169"/>
      <c r="N584" s="169">
        <f ca="1">IFERROR(__xludf.DUMMYFUNCTION("IMPORTRANGE(""https://docs.google.com/spreadsheets/d/1SX6NBoVAgQJ6U1MVXOaj8PK2l7WJ3RER9xtqwdhxkhw/edit?usp=sharing"",""ชัยนาท!M479"")"),0)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IFERROR(__xludf.DUMMYFUNCTION("IMPORTRANGE(""https://docs.google.com/spreadsheets/d/1SX6NBoVAgQJ6U1MVXOaj8PK2l7WJ3RER9xtqwdhxkhw/edit?usp=sharing"",""ชัยนาท!M480"")"),0)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IFERROR(__xludf.DUMMYFUNCTION("IMPORTRANGE(""https://docs.google.com/spreadsheets/d/1SX6NBoVAgQJ6U1MVXOaj8PK2l7WJ3RER9xtqwdhxkhw/edit?usp=sharing"",""ชัยนาท!M481"")"),0)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IFERROR(__xludf.DUMMYFUNCTION("IMPORTRANGE(""https://docs.google.com/spreadsheets/d/1SX6NBoVAgQJ6U1MVXOaj8PK2l7WJ3RER9xtqwdhxkhw/edit?usp=sharing"",""ชัยนาท!M482"")"),0)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IFERROR(__xludf.DUMMYFUNCTION("IMPORTRANGE(""https://docs.google.com/spreadsheets/d/1SX6NBoVAgQJ6U1MVXOaj8PK2l7WJ3RER9xtqwdhxkhw/edit?usp=sharing"",""ชัยนาท!M483"")"),0)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IFERROR(__xludf.DUMMYFUNCTION("IMPORTRANGE(""https://docs.google.com/spreadsheets/d/1SX6NBoVAgQJ6U1MVXOaj8PK2l7WJ3RER9xtqwdhxkhw/edit?usp=sharing"",""ชัยนาท!I484"")"),0)</f>
        <v>0</v>
      </c>
      <c r="J589" s="188">
        <f ca="1">IFERROR(__xludf.DUMMYFUNCTION("IMPORTRANGE(""https://docs.google.com/spreadsheets/d/1SX6NBoVAgQJ6U1MVXOaj8PK2l7WJ3RER9xtqwdhxkhw/edit?usp=sharing"",""ชัยนาท!J484"")"),0)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IFERROR(__xludf.DUMMYFUNCTION("IMPORTRANGE(""https://docs.google.com/spreadsheets/d/1SX6NBoVAgQJ6U1MVXOaj8PK2l7WJ3RER9xtqwdhxkhw/edit?usp=sharing"",""ชัยนาท!I485"")"),0)</f>
        <v>0</v>
      </c>
      <c r="J590" s="188">
        <f ca="1">IFERROR(__xludf.DUMMYFUNCTION("IMPORTRANGE(""https://docs.google.com/spreadsheets/d/1SX6NBoVAgQJ6U1MVXOaj8PK2l7WJ3RER9xtqwdhxkhw/edit?usp=sharing"",""ชัยนาท!J485"")"),0)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IFERROR(__xludf.DUMMYFUNCTION("IMPORTRANGE(""https://docs.google.com/spreadsheets/d/1SX6NBoVAgQJ6U1MVXOaj8PK2l7WJ3RER9xtqwdhxkhw/edit?usp=sharing"",""ชัยนาท!I486"")"),0)</f>
        <v>0</v>
      </c>
      <c r="J591" s="188">
        <f ca="1">IFERROR(__xludf.DUMMYFUNCTION("IMPORTRANGE(""https://docs.google.com/spreadsheets/d/1SX6NBoVAgQJ6U1MVXOaj8PK2l7WJ3RER9xtqwdhxkhw/edit?usp=sharing"",""ชัยนาท!J486"")"),7)</f>
        <v>7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IFERROR(__xludf.DUMMYFUNCTION("IMPORTRANGE(""https://docs.google.com/spreadsheets/d/1SX6NBoVAgQJ6U1MVXOaj8PK2l7WJ3RER9xtqwdhxkhw/edit?usp=sharing"",""ชัยนาท!I487"")"),0)</f>
        <v>0</v>
      </c>
      <c r="J592" s="188">
        <f ca="1">IFERROR(__xludf.DUMMYFUNCTION("IMPORTRANGE(""https://docs.google.com/spreadsheets/d/1SX6NBoVAgQJ6U1MVXOaj8PK2l7WJ3RER9xtqwdhxkhw/edit?usp=sharing"",""ชัยนาท!J487"")"),5.69)</f>
        <v>5.69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IFERROR(__xludf.DUMMYFUNCTION("IMPORTRANGE(""https://docs.google.com/spreadsheets/d/1SX6NBoVAgQJ6U1MVXOaj8PK2l7WJ3RER9xtqwdhxkhw/edit?usp=sharing"",""ชัยนาท!I488"")"),0)</f>
        <v>0</v>
      </c>
      <c r="J593" s="188">
        <f ca="1">IFERROR(__xludf.DUMMYFUNCTION("IMPORTRANGE(""https://docs.google.com/spreadsheets/d/1SX6NBoVAgQJ6U1MVXOaj8PK2l7WJ3RER9xtqwdhxkhw/edit?usp=sharing"",""ชัยนาท!J488"")"),0)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IFERROR(__xludf.DUMMYFUNCTION("IMPORTRANGE(""https://docs.google.com/spreadsheets/d/1SX6NBoVAgQJ6U1MVXOaj8PK2l7WJ3RER9xtqwdhxkhw/edit?usp=sharing"",""ชัยนาท!I489"")"),0)</f>
        <v>0</v>
      </c>
      <c r="J594" s="188">
        <f ca="1">IFERROR(__xludf.DUMMYFUNCTION("IMPORTRANGE(""https://docs.google.com/spreadsheets/d/1SX6NBoVAgQJ6U1MVXOaj8PK2l7WJ3RER9xtqwdhxkhw/edit?usp=sharing"",""ชัยนาท!J489"")"),0)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IFERROR(__xludf.DUMMYFUNCTION("IMPORTRANGE(""https://docs.google.com/spreadsheets/d/1SX6NBoVAgQJ6U1MVXOaj8PK2l7WJ3RER9xtqwdhxkhw/edit?usp=sharing"",""ชัยนาท!I490"")"),0)</f>
        <v>0</v>
      </c>
      <c r="J595" s="188">
        <f ca="1">IFERROR(__xludf.DUMMYFUNCTION("IMPORTRANGE(""https://docs.google.com/spreadsheets/d/1SX6NBoVAgQJ6U1MVXOaj8PK2l7WJ3RER9xtqwdhxkhw/edit?usp=sharing"",""ชัยนาท!J490"")"),7)</f>
        <v>7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IFERROR(__xludf.DUMMYFUNCTION("IMPORTRANGE(""https://docs.google.com/spreadsheets/d/1SX6NBoVAgQJ6U1MVXOaj8PK2l7WJ3RER9xtqwdhxkhw/edit?usp=sharing"",""ชัยนาท!I491"")"),0)</f>
        <v>0</v>
      </c>
      <c r="J596" s="242">
        <f ca="1">IFERROR(__xludf.DUMMYFUNCTION("IMPORTRANGE(""https://docs.google.com/spreadsheets/d/1SX6NBoVAgQJ6U1MVXOaj8PK2l7WJ3RER9xtqwdhxkhw/edit?usp=sharing"",""ชัยนาท!J491"")"),5.69)</f>
        <v>5.69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IFERROR(__xludf.DUMMYFUNCTION("IMPORTRANGE(""https://docs.google.com/spreadsheets/d/1SX6NBoVAgQJ6U1MVXOaj8PK2l7WJ3RER9xtqwdhxkhw/edit?usp=sharing"",""ชัยนาท!I492"")"),50)</f>
        <v>50</v>
      </c>
      <c r="J597" s="488">
        <f ca="1">IFERROR(__xludf.DUMMYFUNCTION("IMPORTRANGE(""https://docs.google.com/spreadsheets/d/1SX6NBoVAgQJ6U1MVXOaj8PK2l7WJ3RER9xtqwdhxkhw/edit?usp=sharing"",""ชัยนาท!J492"")"),0)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IFERROR(__xludf.DUMMYFUNCTION("IMPORTRANGE(""https://docs.google.com/spreadsheets/d/1SX6NBoVAgQJ6U1MVXOaj8PK2l7WJ3RER9xtqwdhxkhw/edit?usp=sharing"",""ชัยนาท!L492"")"),4550)</f>
        <v>4550</v>
      </c>
      <c r="M597" s="412"/>
      <c r="N597" s="412">
        <f ca="1">IFERROR(__xludf.DUMMYFUNCTION("IMPORTRANGE(""https://docs.google.com/spreadsheets/d/1SX6NBoVAgQJ6U1MVXOaj8PK2l7WJ3RER9xtqwdhxkhw/edit?usp=sharing"",""ชัยนาท!M492"")"),3430)</f>
        <v>3430</v>
      </c>
      <c r="O597" s="412">
        <f t="shared" ref="O597:O601" ca="1" si="126">+IF(L597&gt;0,N597*100/L597,0)</f>
        <v>75.384615384615387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IFERROR(__xludf.DUMMYFUNCTION("IMPORTRANGE(""https://docs.google.com/spreadsheets/d/1SX6NBoVAgQJ6U1MVXOaj8PK2l7WJ3RER9xtqwdhxkhw/edit?usp=sharing"",""ชัยนาท!L493"")"),0)</f>
        <v>0</v>
      </c>
      <c r="M598" s="164"/>
      <c r="N598" s="169">
        <f ca="1">IFERROR(__xludf.DUMMYFUNCTION("IMPORTRANGE(""https://docs.google.com/spreadsheets/d/1SX6NBoVAgQJ6U1MVXOaj8PK2l7WJ3RER9xtqwdhxkhw/edit?usp=sharing"",""ชัยนาท!M493"")"),0)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IFERROR(__xludf.DUMMYFUNCTION("IMPORTRANGE(""https://docs.google.com/spreadsheets/d/1SX6NBoVAgQJ6U1MVXOaj8PK2l7WJ3RER9xtqwdhxkhw/edit?usp=sharing"",""ชัยนาท!L494"")"),4550)</f>
        <v>4550</v>
      </c>
      <c r="M599" s="165"/>
      <c r="N599" s="169">
        <f ca="1">IFERROR(__xludf.DUMMYFUNCTION("IMPORTRANGE(""https://docs.google.com/spreadsheets/d/1SX6NBoVAgQJ6U1MVXOaj8PK2l7WJ3RER9xtqwdhxkhw/edit?usp=sharing"",""ชัยนาท!M494"")"),3430)</f>
        <v>3430</v>
      </c>
      <c r="O599" s="169">
        <f t="shared" ca="1" si="126"/>
        <v>75.384615384615387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IFERROR(__xludf.DUMMYFUNCTION("IMPORTRANGE(""https://docs.google.com/spreadsheets/d/1SX6NBoVAgQJ6U1MVXOaj8PK2l7WJ3RER9xtqwdhxkhw/edit?usp=sharing"",""ชัยนาท!L495"")"),0)</f>
        <v>0</v>
      </c>
      <c r="M600" s="169"/>
      <c r="N600" s="169">
        <f ca="1">IFERROR(__xludf.DUMMYFUNCTION("IMPORTRANGE(""https://docs.google.com/spreadsheets/d/1SX6NBoVAgQJ6U1MVXOaj8PK2l7WJ3RER9xtqwdhxkhw/edit?usp=sharing"",""ชัยนาท!M495"")"),0)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IFERROR(__xludf.DUMMYFUNCTION("IMPORTRANGE(""https://docs.google.com/spreadsheets/d/1SX6NBoVAgQJ6U1MVXOaj8PK2l7WJ3RER9xtqwdhxkhw/edit?usp=sharing"",""ชัยนาท!L496"")"),4550)</f>
        <v>4550</v>
      </c>
      <c r="M601" s="169"/>
      <c r="N601" s="169">
        <f ca="1">IFERROR(__xludf.DUMMYFUNCTION("IMPORTRANGE(""https://docs.google.com/spreadsheets/d/1SX6NBoVAgQJ6U1MVXOaj8PK2l7WJ3RER9xtqwdhxkhw/edit?usp=sharing"",""ชัยนาท!M496"")"),3430)</f>
        <v>3430</v>
      </c>
      <c r="O601" s="169">
        <f t="shared" ca="1" si="126"/>
        <v>75.384615384615387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IFERROR(__xludf.DUMMYFUNCTION("IMPORTRANGE(""https://docs.google.com/spreadsheets/d/1SX6NBoVAgQJ6U1MVXOaj8PK2l7WJ3RER9xtqwdhxkhw/edit?usp=sharing"",""ชัยนาท!M497"")"),0)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IFERROR(__xludf.DUMMYFUNCTION("IMPORTRANGE(""https://docs.google.com/spreadsheets/d/1SX6NBoVAgQJ6U1MVXOaj8PK2l7WJ3RER9xtqwdhxkhw/edit?usp=sharing"",""ชัยนาท!M498"")"),0)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IFERROR(__xludf.DUMMYFUNCTION("IMPORTRANGE(""https://docs.google.com/spreadsheets/d/1SX6NBoVAgQJ6U1MVXOaj8PK2l7WJ3RER9xtqwdhxkhw/edit?usp=sharing"",""ชัยนาท!M499"")"),0)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IFERROR(__xludf.DUMMYFUNCTION("IMPORTRANGE(""https://docs.google.com/spreadsheets/d/1SX6NBoVAgQJ6U1MVXOaj8PK2l7WJ3RER9xtqwdhxkhw/edit?usp=sharing"",""ชัยนาท!M500"")"),3430)</f>
        <v>3430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IFERROR(__xludf.DUMMYFUNCTION("IMPORTRANGE(""https://docs.google.com/spreadsheets/d/1SX6NBoVAgQJ6U1MVXOaj8PK2l7WJ3RER9xtqwdhxkhw/edit?usp=sharing"",""ชัยนาท!J502"")"),0)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IFERROR(__xludf.DUMMYFUNCTION("IMPORTRANGE(""https://docs.google.com/spreadsheets/d/1SX6NBoVAgQJ6U1MVXOaj8PK2l7WJ3RER9xtqwdhxkhw/edit?usp=sharing"",""ชัยนาท!J503"")"),1)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IFERROR(__xludf.DUMMYFUNCTION("IMPORTRANGE(""https://docs.google.com/spreadsheets/d/1SX6NBoVAgQJ6U1MVXOaj8PK2l7WJ3RER9xtqwdhxkhw/edit?usp=sharing"",""ชัยนาท!J166"")"),0)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IFERROR(__xludf.DUMMYFUNCTION("IMPORTRANGE(""https://docs.google.com/spreadsheets/d/1SX6NBoVAgQJ6U1MVXOaj8PK2l7WJ3RER9xtqwdhxkhw/edit?usp=sharing"",""ชัยนาท!J166"")"),0)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IFERROR(__xludf.DUMMYFUNCTION("IMPORTRANGE(""https://docs.google.com/spreadsheets/d/1SX6NBoVAgQJ6U1MVXOaj8PK2l7WJ3RER9xtqwdhxkhw/edit?usp=sharing"",""ชัยนาท!I506"")"),50)</f>
        <v>50</v>
      </c>
      <c r="J611" s="162">
        <f ca="1">IFERROR(__xludf.DUMMYFUNCTION("IMPORTRANGE(""https://docs.google.com/spreadsheets/d/1SX6NBoVAgQJ6U1MVXOaj8PK2l7WJ3RER9xtqwdhxkhw/edit?usp=sharing"",""ชัยนาท!J506"")"),0)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IFERROR(__xludf.DUMMYFUNCTION("IMPORTRANGE(""https://docs.google.com/spreadsheets/d/1SX6NBoVAgQJ6U1MVXOaj8PK2l7WJ3RER9xtqwdhxkhw/edit?usp=sharing"",""ชัยนาท!I507"")"),0)</f>
        <v>0</v>
      </c>
      <c r="J612" s="198">
        <f ca="1">IFERROR(__xludf.DUMMYFUNCTION("IMPORTRANGE(""https://docs.google.com/spreadsheets/d/1SX6NBoVAgQJ6U1MVXOaj8PK2l7WJ3RER9xtqwdhxkhw/edit?usp=sharing"",""ชัยนาท!J507"")"),86)</f>
        <v>86</v>
      </c>
      <c r="K612" s="163">
        <f t="shared" ca="1" si="127"/>
        <v>172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IFERROR(__xludf.DUMMYFUNCTION("IMPORTRANGE(""https://docs.google.com/spreadsheets/d/1SX6NBoVAgQJ6U1MVXOaj8PK2l7WJ3RER9xtqwdhxkhw/edit?usp=sharing"",""ชัยนาท!I508"")"),0)</f>
        <v>0</v>
      </c>
      <c r="J613" s="198">
        <f ca="1">IFERROR(__xludf.DUMMYFUNCTION("IMPORTRANGE(""https://docs.google.com/spreadsheets/d/1SX6NBoVAgQJ6U1MVXOaj8PK2l7WJ3RER9xtqwdhxkhw/edit?usp=sharing"",""ชัยนาท!J508"")"),86)</f>
        <v>86</v>
      </c>
      <c r="K613" s="163">
        <f t="shared" ca="1" si="127"/>
        <v>172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IFERROR(__xludf.DUMMYFUNCTION("IMPORTRANGE(""https://docs.google.com/spreadsheets/d/1SX6NBoVAgQJ6U1MVXOaj8PK2l7WJ3RER9xtqwdhxkhw/edit?usp=sharing"",""ชัยนาท!I509"")"),0)</f>
        <v>0</v>
      </c>
      <c r="J614" s="198">
        <f ca="1">IFERROR(__xludf.DUMMYFUNCTION("IMPORTRANGE(""https://docs.google.com/spreadsheets/d/1SX6NBoVAgQJ6U1MVXOaj8PK2l7WJ3RER9xtqwdhxkhw/edit?usp=sharing"",""ชัยนาท!J509"")"),70)</f>
        <v>70</v>
      </c>
      <c r="K614" s="163">
        <f t="shared" ca="1" si="127"/>
        <v>140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IFERROR(__xludf.DUMMYFUNCTION("IMPORTRANGE(""https://docs.google.com/spreadsheets/d/1SX6NBoVAgQJ6U1MVXOaj8PK2l7WJ3RER9xtqwdhxkhw/edit?usp=sharing"",""ชัยนาท!I510"")"),0)</f>
        <v>0</v>
      </c>
      <c r="J615" s="198">
        <f ca="1">IFERROR(__xludf.DUMMYFUNCTION("IMPORTRANGE(""https://docs.google.com/spreadsheets/d/1SX6NBoVAgQJ6U1MVXOaj8PK2l7WJ3RER9xtqwdhxkhw/edit?usp=sharing"",""ชัยนาท!J510"")"),70)</f>
        <v>70</v>
      </c>
      <c r="K615" s="163">
        <f t="shared" ca="1" si="127"/>
        <v>140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IFERROR(__xludf.DUMMYFUNCTION("IMPORTRANGE(""https://docs.google.com/spreadsheets/d/1SX6NBoVAgQJ6U1MVXOaj8PK2l7WJ3RER9xtqwdhxkhw/edit?usp=sharing"",""ชัยนาท!I511"")"),0)</f>
        <v>0</v>
      </c>
      <c r="J616" s="198">
        <f ca="1">IFERROR(__xludf.DUMMYFUNCTION("IMPORTRANGE(""https://docs.google.com/spreadsheets/d/1SX6NBoVAgQJ6U1MVXOaj8PK2l7WJ3RER9xtqwdhxkhw/edit?usp=sharing"",""ชัยนาท!J511"")"),70)</f>
        <v>70</v>
      </c>
      <c r="K616" s="163">
        <f t="shared" ca="1" si="127"/>
        <v>140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IFERROR(__xludf.DUMMYFUNCTION("IMPORTRANGE(""https://docs.google.com/spreadsheets/d/1SX6NBoVAgQJ6U1MVXOaj8PK2l7WJ3RER9xtqwdhxkhw/edit?usp=sharing"",""ชัยนาท!I512"")"),0)</f>
        <v>0</v>
      </c>
      <c r="J617" s="188">
        <f ca="1">IFERROR(__xludf.DUMMYFUNCTION("IMPORTRANGE(""https://docs.google.com/spreadsheets/d/1SX6NBoVAgQJ6U1MVXOaj8PK2l7WJ3RER9xtqwdhxkhw/edit?usp=sharing"",""ชัยนาท!J512"")"),0)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IFERROR(__xludf.DUMMYFUNCTION("IMPORTRANGE(""https://docs.google.com/spreadsheets/d/1SX6NBoVAgQJ6U1MVXOaj8PK2l7WJ3RER9xtqwdhxkhw/edit?usp=sharing"",""ชัยนาท!I513"")"),0)</f>
        <v>0</v>
      </c>
      <c r="J618" s="189">
        <f ca="1">IFERROR(__xludf.DUMMYFUNCTION("IMPORTRANGE(""https://docs.google.com/spreadsheets/d/1SX6NBoVAgQJ6U1MVXOaj8PK2l7WJ3RER9xtqwdhxkhw/edit?usp=sharing"",""ชัยนาท!J513"")"),0)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IFERROR(__xludf.DUMMYFUNCTION("IMPORTRANGE(""https://docs.google.com/spreadsheets/d/1SX6NBoVAgQJ6U1MVXOaj8PK2l7WJ3RER9xtqwdhxkhw/edit?usp=sharing"",""ชัยนาท!I514"")"),0)</f>
        <v>0</v>
      </c>
      <c r="J619" s="189">
        <f ca="1">IFERROR(__xludf.DUMMYFUNCTION("IMPORTRANGE(""https://docs.google.com/spreadsheets/d/1SX6NBoVAgQJ6U1MVXOaj8PK2l7WJ3RER9xtqwdhxkhw/edit?usp=sharing"",""ชัยนาท!J514"")"),0)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IFERROR(__xludf.DUMMYFUNCTION("IMPORTRANGE(""https://docs.google.com/spreadsheets/d/1SX6NBoVAgQJ6U1MVXOaj8PK2l7WJ3RER9xtqwdhxkhw/edit?usp=sharing"",""ชัยนาท!I515"")"),0)</f>
        <v>0</v>
      </c>
      <c r="J620" s="203">
        <f ca="1">IFERROR(__xludf.DUMMYFUNCTION("IMPORTRANGE(""https://docs.google.com/spreadsheets/d/1SX6NBoVAgQJ6U1MVXOaj8PK2l7WJ3RER9xtqwdhxkhw/edit?usp=sharing"",""ชัยนาท!J515"")"),0)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IFERROR(__xludf.DUMMYFUNCTION("IMPORTRANGE(""https://docs.google.com/spreadsheets/d/1SX6NBoVAgQJ6U1MVXOaj8PK2l7WJ3RER9xtqwdhxkhw/edit?usp=sharing"",""ชัยนาท!I516"")"),0)</f>
        <v>0</v>
      </c>
      <c r="J621" s="203">
        <f ca="1">IFERROR(__xludf.DUMMYFUNCTION("IMPORTRANGE(""https://docs.google.com/spreadsheets/d/1SX6NBoVAgQJ6U1MVXOaj8PK2l7WJ3RER9xtqwdhxkhw/edit?usp=sharing"",""ชัยนาท!J516"")"),0)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IFERROR(__xludf.DUMMYFUNCTION("IMPORTRANGE(""https://docs.google.com/spreadsheets/d/1SX6NBoVAgQJ6U1MVXOaj8PK2l7WJ3RER9xtqwdhxkhw/edit?usp=sharing"",""ชัยนาท!I517"")"),0)</f>
        <v>0</v>
      </c>
      <c r="J622" s="189">
        <f ca="1">IFERROR(__xludf.DUMMYFUNCTION("IMPORTRANGE(""https://docs.google.com/spreadsheets/d/1SX6NBoVAgQJ6U1MVXOaj8PK2l7WJ3RER9xtqwdhxkhw/edit?usp=sharing"",""ชัยนาท!J517"")"),0)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IFERROR(__xludf.DUMMYFUNCTION("IMPORTRANGE(""https://docs.google.com/spreadsheets/d/1SX6NBoVAgQJ6U1MVXOaj8PK2l7WJ3RER9xtqwdhxkhw/edit?usp=sharing"",""ชัยนาท!I518"")"),0)</f>
        <v>0</v>
      </c>
      <c r="J623" s="189">
        <f ca="1">IFERROR(__xludf.DUMMYFUNCTION("IMPORTRANGE(""https://docs.google.com/spreadsheets/d/1SX6NBoVAgQJ6U1MVXOaj8PK2l7WJ3RER9xtqwdhxkhw/edit?usp=sharing"",""ชัยนาท!J518"")"),0)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IFERROR(__xludf.DUMMYFUNCTION("IMPORTRANGE(""https://docs.google.com/spreadsheets/d/1SX6NBoVAgQJ6U1MVXOaj8PK2l7WJ3RER9xtqwdhxkhw/edit?usp=sharing"",""ชัยนาท!I519"")"),0)</f>
        <v>0</v>
      </c>
      <c r="J624" s="188">
        <f ca="1">IFERROR(__xludf.DUMMYFUNCTION("IMPORTRANGE(""https://docs.google.com/spreadsheets/d/1SX6NBoVAgQJ6U1MVXOaj8PK2l7WJ3RER9xtqwdhxkhw/edit?usp=sharing"",""ชัยนาท!J519"")"),0)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IFERROR(__xludf.DUMMYFUNCTION("IMPORTRANGE(""https://docs.google.com/spreadsheets/d/1SX6NBoVAgQJ6U1MVXOaj8PK2l7WJ3RER9xtqwdhxkhw/edit?usp=sharing"",""ชัยนาท!I520"")"),0)</f>
        <v>0</v>
      </c>
      <c r="J625" s="189">
        <f ca="1">IFERROR(__xludf.DUMMYFUNCTION("IMPORTRANGE(""https://docs.google.com/spreadsheets/d/1SX6NBoVAgQJ6U1MVXOaj8PK2l7WJ3RER9xtqwdhxkhw/edit?usp=sharing"",""ชัยนาท!J520"")"),0)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IFERROR(__xludf.DUMMYFUNCTION("IMPORTRANGE(""https://docs.google.com/spreadsheets/d/1SX6NBoVAgQJ6U1MVXOaj8PK2l7WJ3RER9xtqwdhxkhw/edit?usp=sharing"",""ชัยนาท!I521"")"),0)</f>
        <v>0</v>
      </c>
      <c r="J626" s="189">
        <f ca="1">IFERROR(__xludf.DUMMYFUNCTION("IMPORTRANGE(""https://docs.google.com/spreadsheets/d/1SX6NBoVAgQJ6U1MVXOaj8PK2l7WJ3RER9xtqwdhxkhw/edit?usp=sharing"",""ชัยนาท!J521"")"),0)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IFERROR(__xludf.DUMMYFUNCTION("IMPORTRANGE(""https://docs.google.com/spreadsheets/d/1SX6NBoVAgQJ6U1MVXOaj8PK2l7WJ3RER9xtqwdhxkhw/edit?usp=sharing"",""ชัยนาท!I523"")"),1783436.63)</f>
        <v>1783436.63</v>
      </c>
      <c r="J628" s="342">
        <f ca="1">IFERROR(__xludf.DUMMYFUNCTION("IMPORTRANGE(""https://docs.google.com/spreadsheets/d/1SX6NBoVAgQJ6U1MVXOaj8PK2l7WJ3RER9xtqwdhxkhw/edit?usp=sharing"",""ชัยนาท!J523"")"),1729296.09)</f>
        <v>1729296.09</v>
      </c>
      <c r="K628" s="343">
        <f t="shared" ref="K628:K635" ca="1" si="129">IF(I628&gt;0,J628*100/I628,0)</f>
        <v>96.964257709566056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IFERROR(__xludf.DUMMYFUNCTION("IMPORTRANGE(""https://docs.google.com/spreadsheets/d/1SX6NBoVAgQJ6U1MVXOaj8PK2l7WJ3RER9xtqwdhxkhw/edit?usp=sharing"",""ชัยนาท!I524"")"),141)</f>
        <v>141</v>
      </c>
      <c r="J629" s="342">
        <f ca="1">IFERROR(__xludf.DUMMYFUNCTION("IMPORTRANGE(""https://docs.google.com/spreadsheets/d/1SX6NBoVAgQJ6U1MVXOaj8PK2l7WJ3RER9xtqwdhxkhw/edit?usp=sharing"",""ชัยนาท!J524"")"),141)</f>
        <v>141</v>
      </c>
      <c r="K629" s="343">
        <f t="shared" ca="1" si="129"/>
        <v>100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2">
        <f ca="1">IFERROR(__xludf.DUMMYFUNCTION("IMPORTRANGE(""https://docs.google.com/spreadsheets/d/1SX6NBoVAgQJ6U1MVXOaj8PK2l7WJ3RER9xtqwdhxkhw/edit?usp=sharing"",""ชัยนาท!J525"")"),1493235.3)</f>
        <v>1493235.3</v>
      </c>
      <c r="K630" s="343">
        <f t="shared" ca="1" si="129"/>
        <v>23.062018716356469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IFERROR(__xludf.DUMMYFUNCTION("IMPORTRANGE(""https://docs.google.com/spreadsheets/d/1SX6NBoVAgQJ6U1MVXOaj8PK2l7WJ3RER9xtqwdhxkhw/edit?usp=sharing"",""ชัยนาท!I526"")"),297)</f>
        <v>297</v>
      </c>
      <c r="J631" s="342">
        <f ca="1">IFERROR(__xludf.DUMMYFUNCTION("IMPORTRANGE(""https://docs.google.com/spreadsheets/d/1SX6NBoVAgQJ6U1MVXOaj8PK2l7WJ3RER9xtqwdhxkhw/edit?usp=sharing"",""ชัยนาท!J526"")"),174)</f>
        <v>174</v>
      </c>
      <c r="K631" s="343">
        <f t="shared" ca="1" si="129"/>
        <v>58.585858585858588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2">
        <f ca="1">IFERROR(__xludf.DUMMYFUNCTION("IMPORTRANGE(""https://docs.google.com/spreadsheets/d/1SX6NBoVAgQJ6U1MVXOaj8PK2l7WJ3RER9xtqwdhxkhw/edit?usp=sharing"",""ชัยนาท!J527"")"),2403634.94)</f>
        <v>2403634.94</v>
      </c>
      <c r="K632" s="343">
        <f t="shared" ca="1" si="129"/>
        <v>19.263586938073473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IFERROR(__xludf.DUMMYFUNCTION("IMPORTRANGE(""https://docs.google.com/spreadsheets/d/1SX6NBoVAgQJ6U1MVXOaj8PK2l7WJ3RER9xtqwdhxkhw/edit?usp=sharing"",""ชัยนาท!I528"")"),351)</f>
        <v>351</v>
      </c>
      <c r="J633" s="342">
        <f ca="1">IFERROR(__xludf.DUMMYFUNCTION("IMPORTRANGE(""https://docs.google.com/spreadsheets/d/1SX6NBoVAgQJ6U1MVXOaj8PK2l7WJ3RER9xtqwdhxkhw/edit?usp=sharing"",""ชัยนาท!J528"")"),251)</f>
        <v>251</v>
      </c>
      <c r="K633" s="343">
        <f t="shared" ca="1" si="129"/>
        <v>71.509971509971507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IFERROR(__xludf.DUMMYFUNCTION("IMPORTRANGE(""https://docs.google.com/spreadsheets/d/1SX6NBoVAgQJ6U1MVXOaj8PK2l7WJ3RER9xtqwdhxkhw/edit?usp=sharing"",""ชัยนาท!I529"")"),4700000)</f>
        <v>4700000</v>
      </c>
      <c r="J634" s="342">
        <f ca="1">IFERROR(__xludf.DUMMYFUNCTION("IMPORTRANGE(""https://docs.google.com/spreadsheets/d/1SX6NBoVAgQJ6U1MVXOaj8PK2l7WJ3RER9xtqwdhxkhw/edit?usp=sharing"",""ชัยนาท!J529"")"),3640000)</f>
        <v>3640000</v>
      </c>
      <c r="K634" s="343">
        <f t="shared" ca="1" si="129"/>
        <v>77.446808510638292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IFERROR(__xludf.DUMMYFUNCTION("IMPORTRANGE(""https://docs.google.com/spreadsheets/d/1SX6NBoVAgQJ6U1MVXOaj8PK2l7WJ3RER9xtqwdhxkhw/edit?usp=sharing"",""ชัยนาท!I530"")"),200)</f>
        <v>200</v>
      </c>
      <c r="J635" s="505">
        <f ca="1">IFERROR(__xludf.DUMMYFUNCTION("IMPORTRANGE(""https://docs.google.com/spreadsheets/d/1SX6NBoVAgQJ6U1MVXOaj8PK2l7WJ3RER9xtqwdhxkhw/edit?usp=sharing"",""ชัยนาท!J530"")"),83)</f>
        <v>83</v>
      </c>
      <c r="K635" s="487">
        <f t="shared" ca="1" si="129"/>
        <v>41.5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6640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6640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6640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IFERROR(__xludf.DUMMYFUNCTION("IMPORTRANGE(""https://docs.google.com/spreadsheets/d/1SX6NBoVAgQJ6U1MVXOaj8PK2l7WJ3RER9xtqwdhxkhw/edit#gid=346597447"",""ชัยนาท!J541"")"),0)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IFERROR(__xludf.DUMMYFUNCTION("IMPORTRANGE(""https://docs.google.com/spreadsheets/d/1SX6NBoVAgQJ6U1MVXOaj8PK2l7WJ3RER9xtqwdhxkhw/edit#gid=346597447"",""ชัยนาท!J542"")"),0)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IFERROR(__xludf.DUMMYFUNCTION("IMPORTRANGE(""https://docs.google.com/spreadsheets/d/1SX6NBoVAgQJ6U1MVXOaj8PK2l7WJ3RER9xtqwdhxkhw/edit#gid=346597447"",""ชัยนาท!I543"")"),0)</f>
        <v>0</v>
      </c>
      <c r="J648" s="537">
        <f ca="1">IFERROR(__xludf.DUMMYFUNCTION("IMPORTRANGE(""https://docs.google.com/spreadsheets/d/1SX6NBoVAgQJ6U1MVXOaj8PK2l7WJ3RER9xtqwdhxkhw/edit#gid=346597447"",""ชัยนาท!J543"")"),0)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IFERROR(__xludf.DUMMYFUNCTION("IMPORTRANGE(""https://docs.google.com/spreadsheets/d/1SX6NBoVAgQJ6U1MVXOaj8PK2l7WJ3RER9xtqwdhxkhw/edit#gid=346597447"",""ชัยนาท!L543"")"),0)</f>
        <v>0</v>
      </c>
      <c r="M648" s="522"/>
      <c r="N648" s="539">
        <f ca="1">IFERROR(__xludf.DUMMYFUNCTION("IMPORTRANGE(""https://docs.google.com/spreadsheets/d/1SX6NBoVAgQJ6U1MVXOaj8PK2l7WJ3RER9xtqwdhxkhw/edit#gid=346597447"",""ชัยนาท!M543"")"),0)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IFERROR(__xludf.DUMMYFUNCTION("IMPORTRANGE(""https://docs.google.com/spreadsheets/d/1SX6NBoVAgQJ6U1MVXOaj8PK2l7WJ3RER9xtqwdhxkhw/edit#gid=346597447"",""ชัยนาท!I544"")"),2)</f>
        <v>2</v>
      </c>
      <c r="J649" s="537">
        <f ca="1">IFERROR(__xludf.DUMMYFUNCTION("IMPORTRANGE(""https://docs.google.com/spreadsheets/d/1SX6NBoVAgQJ6U1MVXOaj8PK2l7WJ3RER9xtqwdhxkhw/edit#gid=346597447"",""ชัยนาท!J544"")"),0)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IFERROR(__xludf.DUMMYFUNCTION("IMPORTRANGE(""https://docs.google.com/spreadsheets/d/1SX6NBoVAgQJ6U1MVXOaj8PK2l7WJ3RER9xtqwdhxkhw/edit#gid=346597447"",""ชัยนาท!L544"")"),240)</f>
        <v>240</v>
      </c>
      <c r="M649" s="522"/>
      <c r="N649" s="539">
        <f ca="1">IFERROR(__xludf.DUMMYFUNCTION("IMPORTRANGE(""https://docs.google.com/spreadsheets/d/1SX6NBoVAgQJ6U1MVXOaj8PK2l7WJ3RER9xtqwdhxkhw/edit#gid=346597447"",""ชัยนาท!M544"")"),0)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IFERROR(__xludf.DUMMYFUNCTION("IMPORTRANGE(""https://docs.google.com/spreadsheets/d/1SX6NBoVAgQJ6U1MVXOaj8PK2l7WJ3RER9xtqwdhxkhw/edit#gid=346597447"",""ชัยนาท!I545"")"),80)</f>
        <v>80</v>
      </c>
      <c r="J650" s="537">
        <f ca="1">IFERROR(__xludf.DUMMYFUNCTION("IMPORTRANGE(""https://docs.google.com/spreadsheets/d/1SX6NBoVAgQJ6U1MVXOaj8PK2l7WJ3RER9xtqwdhxkhw/edit#gid=346597447"",""ชัยนาท!J545"")"),0)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IFERROR(__xludf.DUMMYFUNCTION("IMPORTRANGE(""https://docs.google.com/spreadsheets/d/1SX6NBoVAgQJ6U1MVXOaj8PK2l7WJ3RER9xtqwdhxkhw/edit#gid=346597447"",""ชัยนาท!L545"")"),400)</f>
        <v>400</v>
      </c>
      <c r="M650" s="522"/>
      <c r="N650" s="539">
        <f ca="1">IFERROR(__xludf.DUMMYFUNCTION("IMPORTRANGE(""https://docs.google.com/spreadsheets/d/1SX6NBoVAgQJ6U1MVXOaj8PK2l7WJ3RER9xtqwdhxkhw/edit#gid=346597447"",""ชัยนาท!M545"")"),0)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IFERROR(__xludf.DUMMYFUNCTION("IMPORTRANGE(""https://docs.google.com/spreadsheets/d/1SX6NBoVAgQJ6U1MVXOaj8PK2l7WJ3RER9xtqwdhxkhw/edit#gid=346597447"",""ชัยนาท!I546"")"),0)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IFERROR(__xludf.DUMMYFUNCTION("IMPORTRANGE(""https://docs.google.com/spreadsheets/d/1SX6NBoVAgQJ6U1MVXOaj8PK2l7WJ3RER9xtqwdhxkhw/edit#gid=346597447"",""ชัยนาท!L546"")"),0)</f>
        <v>0</v>
      </c>
      <c r="M651" s="522"/>
      <c r="N651" s="539">
        <f ca="1">IFERROR(__xludf.DUMMYFUNCTION("IMPORTRANGE(""https://docs.google.com/spreadsheets/d/1SX6NBoVAgQJ6U1MVXOaj8PK2l7WJ3RER9xtqwdhxkhw/edit#gid=346597447"",""ชัยนาท!M546"")"),0)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IFERROR(__xludf.DUMMYFUNCTION("IMPORTRANGE(""https://docs.google.com/spreadsheets/d/1SX6NBoVAgQJ6U1MVXOaj8PK2l7WJ3RER9xtqwdhxkhw/edit#gid=346597447"",""ชัยนาท!J547"")"),0)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IFERROR(__xludf.DUMMYFUNCTION("IMPORTRANGE(""https://docs.google.com/spreadsheets/d/1SX6NBoVAgQJ6U1MVXOaj8PK2l7WJ3RER9xtqwdhxkhw/edit#gid=346597447"",""ชัยนาท!J548"")"),0)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IFERROR(__xludf.DUMMYFUNCTION("IMPORTRANGE(""https://docs.google.com/spreadsheets/d/1SX6NBoVAgQJ6U1MVXOaj8PK2l7WJ3RER9xtqwdhxkhw/edit#gid=346597447"",""ชัยนาท!J550"")"),0)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IFERROR(__xludf.DUMMYFUNCTION("IMPORTRANGE(""https://docs.google.com/spreadsheets/d/1SX6NBoVAgQJ6U1MVXOaj8PK2l7WJ3RER9xtqwdhxkhw/edit#gid=346597447"",""ชัยนาท!J551"")"),0)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IFERROR(__xludf.DUMMYFUNCTION("IMPORTRANGE(""https://docs.google.com/spreadsheets/d/1SX6NBoVAgQJ6U1MVXOaj8PK2l7WJ3RER9xtqwdhxkhw/edit#gid=346597447"",""ชัยนาท!J552"")"),0)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IFERROR(__xludf.DUMMYFUNCTION("IMPORTRANGE(""https://docs.google.com/spreadsheets/d/1SX6NBoVAgQJ6U1MVXOaj8PK2l7WJ3RER9xtqwdhxkhw/edit#gid=346597447"",""ชัยนาท!J553"")"),0)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IFERROR(__xludf.DUMMYFUNCTION("IMPORTRANGE(""https://docs.google.com/spreadsheets/d/1SX6NBoVAgQJ6U1MVXOaj8PK2l7WJ3RER9xtqwdhxkhw/edit#gid=346597447"",""ชัยนาท!J554"")"),0)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IFERROR(__xludf.DUMMYFUNCTION("IMPORTRANGE(""https://docs.google.com/spreadsheets/d/1SX6NBoVAgQJ6U1MVXOaj8PK2l7WJ3RER9xtqwdhxkhw/edit#gid=346597447"",""ชัยนาท!J555"")"),0)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IFERROR(__xludf.DUMMYFUNCTION("IMPORTRANGE(""https://docs.google.com/spreadsheets/d/1SX6NBoVAgQJ6U1MVXOaj8PK2l7WJ3RER9xtqwdhxkhw/edit#gid=346597447"",""ชัยนาท!J556"")"),0)</f>
        <v>0</v>
      </c>
      <c r="K661" s="538"/>
      <c r="L661" s="523">
        <f ca="1">IFERROR(__xludf.DUMMYFUNCTION("IMPORTRANGE(""https://docs.google.com/spreadsheets/d/1SX6NBoVAgQJ6U1MVXOaj8PK2l7WJ3RER9xtqwdhxkhw/edit#gid=346597447"",""ชัยนาท!L556"")"),4000)</f>
        <v>4000</v>
      </c>
      <c r="M661" s="522"/>
      <c r="N661" s="539">
        <f ca="1">IFERROR(__xludf.DUMMYFUNCTION("IMPORTRANGE(""https://docs.google.com/spreadsheets/d/1SX6NBoVAgQJ6U1MVXOaj8PK2l7WJ3RER9xtqwdhxkhw/edit#gid=346597447"",""ชัยนาท!M556"")"),0)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IFERROR(__xludf.DUMMYFUNCTION("IMPORTRANGE(""https://docs.google.com/spreadsheets/d/1SX6NBoVAgQJ6U1MVXOaj8PK2l7WJ3RER9xtqwdhxkhw/edit#gid=346597447"",""ชัยนาท!J557"")"),0)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IFERROR(__xludf.DUMMYFUNCTION("IMPORTRANGE(""https://docs.google.com/spreadsheets/d/1SX6NBoVAgQJ6U1MVXOaj8PK2l7WJ3RER9xtqwdhxkhw/edit#gid=346597447"",""ชัยนาท!I558"")"),100)</f>
        <v>100</v>
      </c>
      <c r="J663" s="537">
        <f ca="1">IFERROR(__xludf.DUMMYFUNCTION("IMPORTRANGE(""https://docs.google.com/spreadsheets/d/1SX6NBoVAgQJ6U1MVXOaj8PK2l7WJ3RER9xtqwdhxkhw/edit#gid=346597447"",""ชัยนาท!J558"")"),0)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IFERROR(__xludf.DUMMYFUNCTION("IMPORTRANGE(""https://docs.google.com/spreadsheets/d/1SX6NBoVAgQJ6U1MVXOaj8PK2l7WJ3RER9xtqwdhxkhw/edit#gid=346597447"",""ชัยนาท!I560"")"),10)</f>
        <v>10</v>
      </c>
      <c r="J665" s="537">
        <f ca="1">IFERROR(__xludf.DUMMYFUNCTION("IMPORTRANGE(""https://docs.google.com/spreadsheets/d/1SX6NBoVAgQJ6U1MVXOaj8PK2l7WJ3RER9xtqwdhxkhw/edit#gid=346597447"",""ชัยนาท!J560"")"),0)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IFERROR(__xludf.DUMMYFUNCTION("IMPORTRANGE(""https://docs.google.com/spreadsheets/d/1SX6NBoVAgQJ6U1MVXOaj8PK2l7WJ3RER9xtqwdhxkhw/edit#gid=346597447"",""ชัยนาท!L560"")"),1200)</f>
        <v>1200</v>
      </c>
      <c r="M665" s="522"/>
      <c r="N665" s="539">
        <f ca="1">IFERROR(__xludf.DUMMYFUNCTION("IMPORTRANGE(""https://docs.google.com/spreadsheets/d/1SX6NBoVAgQJ6U1MVXOaj8PK2l7WJ3RER9xtqwdhxkhw/edit#gid=346597447"",""ชัยนาท!M560"")"),0)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IFERROR(__xludf.DUMMYFUNCTION("IMPORTRANGE(""https://docs.google.com/spreadsheets/d/1SX6NBoVAgQJ6U1MVXOaj8PK2l7WJ3RER9xtqwdhxkhw/edit#gid=346597447"",""ชัยนาท!J561"")"),0)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IFERROR(__xludf.DUMMYFUNCTION("IMPORTRANGE(""https://docs.google.com/spreadsheets/d/1SX6NBoVAgQJ6U1MVXOaj8PK2l7WJ3RER9xtqwdhxkhw/edit#gid=346597447"",""ชัยนาท!J562"")"),0)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IFERROR(__xludf.DUMMYFUNCTION("IMPORTRANGE(""https://docs.google.com/spreadsheets/d/1SX6NBoVAgQJ6U1MVXOaj8PK2l7WJ3RER9xtqwdhxkhw/edit#gid=346597447"",""ชัยนาท!I563"")"),0)</f>
        <v>0</v>
      </c>
      <c r="J668" s="537">
        <f ca="1">IFERROR(__xludf.DUMMYFUNCTION("IMPORTRANGE(""https://docs.google.com/spreadsheets/d/1SX6NBoVAgQJ6U1MVXOaj8PK2l7WJ3RER9xtqwdhxkhw/edit#gid=346597447"",""ชัยนาท!J563"")"),0)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IFERROR(__xludf.DUMMYFUNCTION("IMPORTRANGE(""https://docs.google.com/spreadsheets/d/1SX6NBoVAgQJ6U1MVXOaj8PK2l7WJ3RER9xtqwdhxkhw/edit#gid=346597447"",""ชัยนาท!L563"")"),0)</f>
        <v>0</v>
      </c>
      <c r="M668" s="522"/>
      <c r="N668" s="539">
        <f ca="1">IFERROR(__xludf.DUMMYFUNCTION("IMPORTRANGE(""https://docs.google.com/spreadsheets/d/1SX6NBoVAgQJ6U1MVXOaj8PK2l7WJ3RER9xtqwdhxkhw/edit#gid=346597447"",""ชัยนาท!M563"")"),0)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IFERROR(__xludf.DUMMYFUNCTION("IMPORTRANGE(""https://docs.google.com/spreadsheets/d/1SX6NBoVAgQJ6U1MVXOaj8PK2l7WJ3RER9xtqwdhxkhw/edit#gid=346597447"",""ชัยนาท!J564"")"),0)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IFERROR(__xludf.DUMMYFUNCTION("IMPORTRANGE(""https://docs.google.com/spreadsheets/d/1SX6NBoVAgQJ6U1MVXOaj8PK2l7WJ3RER9xtqwdhxkhw/edit#gid=346597447"",""ชัยนาท!J565"")"),0)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IFERROR(__xludf.DUMMYFUNCTION("IMPORTRANGE(""https://docs.google.com/spreadsheets/d/1SX6NBoVAgQJ6U1MVXOaj8PK2l7WJ3RER9xtqwdhxkhw/edit#gid=346597447"",""ชัยนาท!I566"")"),10)</f>
        <v>10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IFERROR(__xludf.DUMMYFUNCTION("IMPORTRANGE(""https://docs.google.com/spreadsheets/d/1SX6NBoVAgQJ6U1MVXOaj8PK2l7WJ3RER9xtqwdhxkhw/edit#gid=346597447"",""ชัยนาท!L566"")"),800)</f>
        <v>800</v>
      </c>
      <c r="M671" s="522"/>
      <c r="N671" s="539">
        <f ca="1">IFERROR(__xludf.DUMMYFUNCTION("IMPORTRANGE(""https://docs.google.com/spreadsheets/d/1SX6NBoVAgQJ6U1MVXOaj8PK2l7WJ3RER9xtqwdhxkhw/edit#gid=346597447"",""ชัยนาท!M566"")"),0)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IFERROR(__xludf.DUMMYFUNCTION("IMPORTRANGE(""https://docs.google.com/spreadsheets/d/1SX6NBoVAgQJ6U1MVXOaj8PK2l7WJ3RER9xtqwdhxkhw/edit#gid=346597447"",""ชัยนาท!J567"")"),0)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IFERROR(__xludf.DUMMYFUNCTION("IMPORTRANGE(""https://docs.google.com/spreadsheets/d/1SX6NBoVAgQJ6U1MVXOaj8PK2l7WJ3RER9xtqwdhxkhw/edit#gid=346597447"",""ชัยนาท!J568"")"),0)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IFERROR(__xludf.DUMMYFUNCTION("IMPORTRANGE(""https://docs.google.com/spreadsheets/d/1SX6NBoVAgQJ6U1MVXOaj8PK2l7WJ3RER9xtqwdhxkhw/edit#gid=346597447"",""ชัยนาท!J569"")"),0)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IFERROR(__xludf.DUMMYFUNCTION("IMPORTRANGE(""https://docs.google.com/spreadsheets/d/1SX6NBoVAgQJ6U1MVXOaj8PK2l7WJ3RER9xtqwdhxkhw/edit#gid=346597447"",""ชัยนาท!J570"")"),0)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IFERROR(__xludf.DUMMYFUNCTION("IMPORTRANGE(""https://docs.google.com/spreadsheets/d/1SX6NBoVAgQJ6U1MVXOaj8PK2l7WJ3RER9xtqwdhxkhw/edit#gid=346597447"",""ชัยนาท!J571"")"),0)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IFERROR(__xludf.DUMMYFUNCTION("IMPORTRANGE(""https://docs.google.com/spreadsheets/d/1SX6NBoVAgQJ6U1MVXOaj8PK2l7WJ3RER9xtqwdhxkhw/edit#gid=346597447"",""ชัยนาท!J572"")"),0)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270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2782182</v>
      </c>
      <c r="M8" s="23">
        <f t="shared" ca="1" si="0"/>
        <v>2134781</v>
      </c>
      <c r="N8" s="23">
        <f t="shared" ca="1" si="0"/>
        <v>2227909.17</v>
      </c>
      <c r="O8" s="22">
        <f t="shared" ref="O8:O16" ca="1" si="1">IF(L8&gt;0,N8*100/L8,0)</f>
        <v>80.077765221685709</v>
      </c>
      <c r="P8" s="22">
        <f t="shared" ref="P8:P16" ca="1" si="2">IF(M8&gt;0,N8*100/M8,0)</f>
        <v>104.36242265600077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2782182</v>
      </c>
      <c r="M10" s="30">
        <f t="shared" ca="1" si="4"/>
        <v>2134781</v>
      </c>
      <c r="N10" s="30">
        <f t="shared" ca="1" si="4"/>
        <v>2227909.17</v>
      </c>
      <c r="O10" s="29">
        <f t="shared" ca="1" si="1"/>
        <v>80.077765221685709</v>
      </c>
      <c r="P10" s="29">
        <f t="shared" ca="1" si="2"/>
        <v>104.36242265600077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2494182</v>
      </c>
      <c r="M12" s="38">
        <f t="shared" ca="1" si="6"/>
        <v>1846781</v>
      </c>
      <c r="N12" s="38">
        <f t="shared" ca="1" si="6"/>
        <v>1939909.17</v>
      </c>
      <c r="O12" s="38">
        <f t="shared" ca="1" si="1"/>
        <v>77.777370296153208</v>
      </c>
      <c r="P12" s="38">
        <f t="shared" ca="1" si="2"/>
        <v>105.04272948443806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1477700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1016482</v>
      </c>
      <c r="M14" s="38">
        <f t="shared" si="8"/>
        <v>0</v>
      </c>
      <c r="N14" s="38">
        <f t="shared" ca="1" si="8"/>
        <v>476662</v>
      </c>
      <c r="O14" s="38">
        <f t="shared" ca="1" si="1"/>
        <v>46.893304554335444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288000</v>
      </c>
      <c r="M16" s="38">
        <f t="shared" ca="1" si="10"/>
        <v>288000</v>
      </c>
      <c r="N16" s="38">
        <f t="shared" ca="1" si="10"/>
        <v>288000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2153840</v>
      </c>
      <c r="M18" s="23">
        <f t="shared" ca="1" si="11"/>
        <v>2134781</v>
      </c>
      <c r="N18" s="23">
        <f t="shared" ca="1" si="11"/>
        <v>1751247.17</v>
      </c>
      <c r="O18" s="22">
        <f t="shared" ref="O18:O20" ca="1" si="12">IF(L18&gt;0,N18*100/L18,0)</f>
        <v>81.308136630390379</v>
      </c>
      <c r="P18" s="22">
        <f t="shared" ref="P18:P26" ca="1" si="13">IF(M18&gt;0,N18*100/M18,0)</f>
        <v>82.034043304676217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2153840</v>
      </c>
      <c r="M20" s="30">
        <f t="shared" ca="1" si="15"/>
        <v>2134781</v>
      </c>
      <c r="N20" s="30">
        <f t="shared" ca="1" si="15"/>
        <v>1751247.17</v>
      </c>
      <c r="O20" s="29">
        <f t="shared" ca="1" si="12"/>
        <v>81.308136630390379</v>
      </c>
      <c r="P20" s="29">
        <f t="shared" ca="1" si="13"/>
        <v>82.034043304676217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1865840</v>
      </c>
      <c r="M22" s="41">
        <f t="shared" ca="1" si="18"/>
        <v>1846781</v>
      </c>
      <c r="N22" s="38">
        <f t="shared" ca="1" si="18"/>
        <v>1463247.17</v>
      </c>
      <c r="O22" s="38">
        <f t="shared" ca="1" si="17"/>
        <v>78.422971423058783</v>
      </c>
      <c r="P22" s="38">
        <f t="shared" ca="1" si="13"/>
        <v>79.232305833772386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1477700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388140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288000</v>
      </c>
      <c r="M26" s="49">
        <f t="shared" ca="1" si="22"/>
        <v>288000</v>
      </c>
      <c r="N26" s="49">
        <f t="shared" ca="1" si="22"/>
        <v>288000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628342</v>
      </c>
      <c r="M28" s="23">
        <f t="shared" si="23"/>
        <v>0</v>
      </c>
      <c r="N28" s="23">
        <f t="shared" ca="1" si="23"/>
        <v>476662</v>
      </c>
      <c r="O28" s="22">
        <f t="shared" ref="O28:O30" ca="1" si="24">IF(L28&gt;0,N28*100/L28,0)</f>
        <v>75.860279911258516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628342</v>
      </c>
      <c r="M30" s="30">
        <f t="shared" si="27"/>
        <v>0</v>
      </c>
      <c r="N30" s="30">
        <f t="shared" ca="1" si="27"/>
        <v>476662</v>
      </c>
      <c r="O30" s="29">
        <f t="shared" ca="1" si="24"/>
        <v>75.860279911258516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628342</v>
      </c>
      <c r="M32" s="38">
        <f t="shared" si="30"/>
        <v>0</v>
      </c>
      <c r="N32" s="38">
        <f t="shared" ca="1" si="30"/>
        <v>476662</v>
      </c>
      <c r="O32" s="38">
        <f t="shared" ca="1" si="29"/>
        <v>75.860279911258516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628342</v>
      </c>
      <c r="M34" s="38">
        <f t="shared" si="32"/>
        <v>0</v>
      </c>
      <c r="N34" s="38">
        <f t="shared" ca="1" si="32"/>
        <v>476662</v>
      </c>
      <c r="O34" s="38">
        <f t="shared" ca="1" si="29"/>
        <v>75.860279911258516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2153840</v>
      </c>
      <c r="M37" s="54">
        <f t="shared" ca="1" si="33"/>
        <v>2134781</v>
      </c>
      <c r="N37" s="54">
        <f t="shared" ca="1" si="33"/>
        <v>1751247.17</v>
      </c>
      <c r="O37" s="55">
        <f t="shared" ca="1" si="29"/>
        <v>81.308136630390379</v>
      </c>
      <c r="P37" s="55">
        <f t="shared" ca="1" si="25"/>
        <v>82.034043304676217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917900</v>
      </c>
      <c r="N41" s="78">
        <f t="shared" ca="1" si="34"/>
        <v>766237.16999999993</v>
      </c>
      <c r="O41" s="77">
        <f t="shared" ref="O41:O43" ca="1" si="35">IF(L41&gt;0,N41*100/L41,0)</f>
        <v>83.477194683516728</v>
      </c>
      <c r="P41" s="77">
        <f t="shared" ref="P41:P43" ca="1" si="36">IF(M41&gt;0,N41*100/M41,0)</f>
        <v>83.477194683516728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917900</v>
      </c>
      <c r="N43" s="78">
        <f t="shared" ca="1" si="38"/>
        <v>766237.16999999993</v>
      </c>
      <c r="O43" s="77">
        <f t="shared" ca="1" si="35"/>
        <v>83.477194683516728</v>
      </c>
      <c r="P43" s="77">
        <f t="shared" ca="1" si="36"/>
        <v>83.477194683516728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629900</v>
      </c>
      <c r="M45" s="49">
        <f ca="1">IFERROR(__xludf.DUMMYFUNCTION("IMPORTRANGE(""https://docs.google.com/spreadsheets/d/1Yj_ptqi66GCucihVvJfMjLAmec39IyEx_6qawtMGysU/edit?usp=sharing"",""สบก!Q64"")"),629900)</f>
        <v>629900</v>
      </c>
      <c r="N45" s="49">
        <f ca="1">IFERROR(__xludf.DUMMYFUNCTION("IMPORTRANGE(""https://docs.google.com/spreadsheets/d/1Yj_ptqi66GCucihVvJfMjLAmec39IyEx_6qawtMGysU/edit?usp=sharing"",""สบก!R64"")"),478237.17)</f>
        <v>478237.17</v>
      </c>
      <c r="O45" s="38">
        <f ca="1">IF(L45&gt;0,N45*100/L45,0)</f>
        <v>75.9227131290681</v>
      </c>
      <c r="P45" s="38">
        <f ca="1">IF(M45&gt;0,N45*100/M45,0)</f>
        <v>75.9227131290681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IFERROR(__xludf.DUMMYFUNCTION("IMPORTRANGE(""https://docs.google.com/spreadsheets/d/1Yj_ptqi66GCucihVvJfMjLAmec39IyEx_6qawtMGysU/edit?usp=sharing"",""สบก!M64"")"),629900)</f>
        <v>629900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IFERROR(__xludf.DUMMYFUNCTION("IMPORTRANGE(""https://docs.google.com/spreadsheets/d/1Yj_ptqi66GCucihVvJfMjLAmec39IyEx_6qawtMGysU/edit?usp=sharing"",""สบก!N64"")"),0)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IFERROR(__xludf.DUMMYFUNCTION("IMPORTRANGE(""https://docs.google.com/spreadsheets/d/1Yj_ptqi66GCucihVvJfMjLAmec39IyEx_6qawtMGysU/edit?usp=sharing"",""สบก!O64"")"),288000)</f>
        <v>288000</v>
      </c>
      <c r="M49" s="49">
        <f ca="1">L49</f>
        <v>288000</v>
      </c>
      <c r="N49" s="49">
        <f ca="1">IFERROR(__xludf.DUMMYFUNCTION("IMPORTRANGE(""https://docs.google.com/spreadsheets/d/1Yj_ptqi66GCucihVvJfMjLAmec39IyEx_6qawtMGysU/edit?usp=sharing"",""สบก!S64"")"),288000)</f>
        <v>288000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354000</v>
      </c>
      <c r="M53" s="121">
        <f t="shared" ca="1" si="39"/>
        <v>287651</v>
      </c>
      <c r="N53" s="121">
        <f t="shared" ca="1" si="39"/>
        <v>236651</v>
      </c>
      <c r="O53" s="120">
        <f t="shared" ref="O53:O55" ca="1" si="40">IF(L53&gt;0,N53*100/L53,0)</f>
        <v>66.85056497175141</v>
      </c>
      <c r="P53" s="120">
        <f t="shared" ref="P53:P55" ca="1" si="41">IF(M53&gt;0,N53*100/M53,0)</f>
        <v>82.270181574199285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354000</v>
      </c>
      <c r="M55" s="121">
        <f t="shared" ca="1" si="43"/>
        <v>287651</v>
      </c>
      <c r="N55" s="121">
        <f t="shared" ca="1" si="43"/>
        <v>236651</v>
      </c>
      <c r="O55" s="120">
        <f t="shared" ca="1" si="40"/>
        <v>66.85056497175141</v>
      </c>
      <c r="P55" s="120">
        <f t="shared" ca="1" si="41"/>
        <v>82.270181574199285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354000</v>
      </c>
      <c r="M57" s="49">
        <f ca="1">IFERROR(__xludf.DUMMYFUNCTION("IMPORTRANGE(""https://docs.google.com/spreadsheets/d/1Yj_ptqi66GCucihVvJfMjLAmec39IyEx_6qawtMGysU/edit?usp=sharing"",""สบก!Z64"")"),287651)</f>
        <v>287651</v>
      </c>
      <c r="N57" s="49">
        <f ca="1">IFERROR(__xludf.DUMMYFUNCTION("IMPORTRANGE(""https://docs.google.com/spreadsheets/d/1Yj_ptqi66GCucihVvJfMjLAmec39IyEx_6qawtMGysU/edit?usp=sharing"",""สบก!AA64"")"),236651)</f>
        <v>236651</v>
      </c>
      <c r="O57" s="38">
        <f ca="1">IF(L57&gt;0,N57*100/L57,0)</f>
        <v>66.85056497175141</v>
      </c>
      <c r="P57" s="38">
        <f ca="1">IF(M57&gt;0,N57*100/M57,0)</f>
        <v>82.270181574199285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IFERROR(__xludf.DUMMYFUNCTION("IMPORTRANGE(""https://docs.google.com/spreadsheets/d/1Yj_ptqi66GCucihVvJfMjLAmec39IyEx_6qawtMGysU/edit?usp=sharing"",""สบก!V64"")"),354000)</f>
        <v>354000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IFERROR(__xludf.DUMMYFUNCTION("IMPORTRANGE(""https://docs.google.com/spreadsheets/d/1Yj_ptqi66GCucihVvJfMjLAmec39IyEx_6qawtMGysU/edit?usp=sharing"",""สบก!W64"")"),0)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IFERROR(__xludf.DUMMYFUNCTION("IMPORTRANGE(""https://docs.google.com/spreadsheets/d/1Yj_ptqi66GCucihVvJfMjLAmec39IyEx_6qawtMGysU/edit?usp=sharing"",""สบก!X64"")"),0)</f>
        <v>0</v>
      </c>
      <c r="M61" s="49"/>
      <c r="N61" s="49">
        <f ca="1">IFERROR(__xludf.DUMMYFUNCTION("IMPORTRANGE(""https://docs.google.com/spreadsheets/d/1Yj_ptqi66GCucihVvJfMjLAmec39IyEx_6qawtMGysU/edit?usp=sharing"",""สบก!AB64"")"),0)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IFERROR(__xludf.DUMMYFUNCTION("IMPORTRANGE(""https://docs.google.com/spreadsheets/d/1SX6NBoVAgQJ6U1MVXOaj8PK2l7WJ3RER9xtqwdhxkhw/edit?usp=sharing"",""ตราด!I9"")"),0)</f>
        <v>0</v>
      </c>
      <c r="J64" s="142">
        <f ca="1">IFERROR(__xludf.DUMMYFUNCTION("IMPORTRANGE(""https://docs.google.com/spreadsheets/d/1SX6NBoVAgQJ6U1MVXOaj8PK2l7WJ3RER9xtqwdhxkhw/edit?usp=sharing"",""ตราด!J9"")"),0)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IFERROR(__xludf.DUMMYFUNCTION("IMPORTRANGE(""https://docs.google.com/spreadsheets/d/1SX6NBoVAgQJ6U1MVXOaj8PK2l7WJ3RER9xtqwdhxkhw/edit?usp=sharing"",""ตราด!I10"")"),0)</f>
        <v>0</v>
      </c>
      <c r="J65" s="142">
        <f ca="1">IFERROR(__xludf.DUMMYFUNCTION("IMPORTRANGE(""https://docs.google.com/spreadsheets/d/1SX6NBoVAgQJ6U1MVXOaj8PK2l7WJ3RER9xtqwdhxkhw/edit?usp=sharing"",""ตราด!J10"")"),0)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8790</v>
      </c>
      <c r="N66" s="152">
        <f t="shared" ca="1" si="45"/>
        <v>8790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8790</v>
      </c>
      <c r="N68" s="157">
        <f t="shared" ca="1" si="49"/>
        <v>8790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IFERROR(__xludf.DUMMYFUNCTION("IMPORTRANGE(""https://docs.google.com/spreadsheets/d/1Yj_ptqi66GCucihVvJfMjLAmec39IyEx_6qawtMGysU/edit?usp=sharing"",""สบก!AI64"")"),8790)</f>
        <v>8790</v>
      </c>
      <c r="N70" s="169">
        <f ca="1">IFERROR(__xludf.DUMMYFUNCTION("IMPORTRANGE(""https://docs.google.com/spreadsheets/d/1Yj_ptqi66GCucihVvJfMjLAmec39IyEx_6qawtMGysU/edit?usp=sharing"",""สบก!AJ64"")"),8790)</f>
        <v>8790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IFERROR(__xludf.DUMMYFUNCTION("IMPORTRANGE(""https://docs.google.com/spreadsheets/d/1Yj_ptqi66GCucihVvJfMjLAmec39IyEx_6qawtMGysU/edit?usp=sharing"",""สบก!AE64"")"),0)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IFERROR(__xludf.DUMMYFUNCTION("IMPORTRANGE(""https://docs.google.com/spreadsheets/d/1Yj_ptqi66GCucihVvJfMjLAmec39IyEx_6qawtMGysU/edit?usp=sharing"",""สบก!AF64"")"),0)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IFERROR(__xludf.DUMMYFUNCTION("IMPORTRANGE(""https://docs.google.com/spreadsheets/d/1Yj_ptqi66GCucihVvJfMjLAmec39IyEx_6qawtMGysU/edit?usp=sharing"",""สบก!AG64"")"),0)</f>
        <v>0</v>
      </c>
      <c r="M74" s="49"/>
      <c r="N74" s="49">
        <f ca="1">IFERROR(__xludf.DUMMYFUNCTION("IMPORTRANGE(""https://docs.google.com/spreadsheets/d/1Yj_ptqi66GCucihVvJfMjLAmec39IyEx_6qawtMGysU/edit?usp=sharing"",""สบก!AK64"")"),0)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IFERROR(__xludf.DUMMYFUNCTION("IMPORTRANGE(""https://docs.google.com/spreadsheets/d/1SX6NBoVAgQJ6U1MVXOaj8PK2l7WJ3RER9xtqwdhxkhw/edit?usp=sharing"",""ตราด!J16"")"),0)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IFERROR(__xludf.DUMMYFUNCTION("IMPORTRANGE(""https://docs.google.com/spreadsheets/d/1SX6NBoVAgQJ6U1MVXOaj8PK2l7WJ3RER9xtqwdhxkhw/edit?usp=sharing"",""ตราด!J17"")"),0)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IFERROR(__xludf.DUMMYFUNCTION("IMPORTRANGE(""https://docs.google.com/spreadsheets/d/1SX6NBoVAgQJ6U1MVXOaj8PK2l7WJ3RER9xtqwdhxkhw/edit?usp=sharing"",""ตราด!J18"")"),0)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IFERROR(__xludf.DUMMYFUNCTION("IMPORTRANGE(""https://docs.google.com/spreadsheets/d/1SX6NBoVAgQJ6U1MVXOaj8PK2l7WJ3RER9xtqwdhxkhw/edit?usp=sharing"",""ตราด!J19"")"),0)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IFERROR(__xludf.DUMMYFUNCTION("IMPORTRANGE(""https://docs.google.com/spreadsheets/d/1SX6NBoVAgQJ6U1MVXOaj8PK2l7WJ3RER9xtqwdhxkhw/edit?usp=sharing"",""ตราด!I20"")"),0)</f>
        <v>0</v>
      </c>
      <c r="J80" s="201">
        <f ca="1">IFERROR(__xludf.DUMMYFUNCTION("IMPORTRANGE(""https://docs.google.com/spreadsheets/d/1SX6NBoVAgQJ6U1MVXOaj8PK2l7WJ3RER9xtqwdhxkhw/edit?usp=sharing"",""ตราด!J20"")"),0)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IFERROR(__xludf.DUMMYFUNCTION("IMPORTRANGE(""https://docs.google.com/spreadsheets/d/1SX6NBoVAgQJ6U1MVXOaj8PK2l7WJ3RER9xtqwdhxkhw/edit?usp=sharing"",""ตราด!I21"")"),0)</f>
        <v>0</v>
      </c>
      <c r="J81" s="201">
        <f ca="1">IFERROR(__xludf.DUMMYFUNCTION("IMPORTRANGE(""https://docs.google.com/spreadsheets/d/1SX6NBoVAgQJ6U1MVXOaj8PK2l7WJ3RER9xtqwdhxkhw/edit?usp=sharing"",""ตราด!J21"")"),0)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IFERROR(__xludf.DUMMYFUNCTION("IMPORTRANGE(""https://docs.google.com/spreadsheets/d/1SX6NBoVAgQJ6U1MVXOaj8PK2l7WJ3RER9xtqwdhxkhw/edit?usp=sharing"",""ตราด!I22"")"),0)</f>
        <v>0</v>
      </c>
      <c r="J82" s="204">
        <f ca="1">IFERROR(__xludf.DUMMYFUNCTION("IMPORTRANGE(""https://docs.google.com/spreadsheets/d/1SX6NBoVAgQJ6U1MVXOaj8PK2l7WJ3RER9xtqwdhxkhw/edit?usp=sharing"",""ตราด!J22"")"),0)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IFERROR(__xludf.DUMMYFUNCTION("IMPORTRANGE(""https://docs.google.com/spreadsheets/d/1SX6NBoVAgQJ6U1MVXOaj8PK2l7WJ3RER9xtqwdhxkhw/edit?usp=sharing"",""ตราด!I23"")"),0)</f>
        <v>0</v>
      </c>
      <c r="J83" s="204">
        <f ca="1">IFERROR(__xludf.DUMMYFUNCTION("IMPORTRANGE(""https://docs.google.com/spreadsheets/d/1SX6NBoVAgQJ6U1MVXOaj8PK2l7WJ3RER9xtqwdhxkhw/edit?usp=sharing"",""ตราด!J23"")"),0)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IFERROR(__xludf.DUMMYFUNCTION("IMPORTRANGE(""https://docs.google.com/spreadsheets/d/1SX6NBoVAgQJ6U1MVXOaj8PK2l7WJ3RER9xtqwdhxkhw/edit?usp=sharing"",""ตราด!I24"")"),0)</f>
        <v>0</v>
      </c>
      <c r="J84" s="189">
        <f ca="1">IFERROR(__xludf.DUMMYFUNCTION("IMPORTRANGE(""https://docs.google.com/spreadsheets/d/1SX6NBoVAgQJ6U1MVXOaj8PK2l7WJ3RER9xtqwdhxkhw/edit?usp=sharing"",""ตราด!J24"")"),0)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IFERROR(__xludf.DUMMYFUNCTION("IMPORTRANGE(""https://docs.google.com/spreadsheets/d/1SX6NBoVAgQJ6U1MVXOaj8PK2l7WJ3RER9xtqwdhxkhw/edit?usp=sharing"",""ตราด!I25"")"),0)</f>
        <v>0</v>
      </c>
      <c r="J85" s="189">
        <f ca="1">IFERROR(__xludf.DUMMYFUNCTION("IMPORTRANGE(""https://docs.google.com/spreadsheets/d/1SX6NBoVAgQJ6U1MVXOaj8PK2l7WJ3RER9xtqwdhxkhw/edit?usp=sharing"",""ตราด!J25"")"),0)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IFERROR(__xludf.DUMMYFUNCTION("IMPORTRANGE(""https://docs.google.com/spreadsheets/d/1SX6NBoVAgQJ6U1MVXOaj8PK2l7WJ3RER9xtqwdhxkhw/edit?usp=sharing"",""ตราด!I26"")"),0)</f>
        <v>0</v>
      </c>
      <c r="J86" s="204">
        <f ca="1">IFERROR(__xludf.DUMMYFUNCTION("IMPORTRANGE(""https://docs.google.com/spreadsheets/d/1SX6NBoVAgQJ6U1MVXOaj8PK2l7WJ3RER9xtqwdhxkhw/edit?usp=sharing"",""ตราด!J26"")"),0)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IFERROR(__xludf.DUMMYFUNCTION("IMPORTRANGE(""https://docs.google.com/spreadsheets/d/1SX6NBoVAgQJ6U1MVXOaj8PK2l7WJ3RER9xtqwdhxkhw/edit?usp=sharing"",""ตราด!I27"")"),0)</f>
        <v>0</v>
      </c>
      <c r="J87" s="204">
        <f ca="1">IFERROR(__xludf.DUMMYFUNCTION("IMPORTRANGE(""https://docs.google.com/spreadsheets/d/1SX6NBoVAgQJ6U1MVXOaj8PK2l7WJ3RER9xtqwdhxkhw/edit?usp=sharing"",""ตราด!J27"")"),0)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IFERROR(__xludf.DUMMYFUNCTION("IMPORTRANGE(""https://docs.google.com/spreadsheets/d/1SX6NBoVAgQJ6U1MVXOaj8PK2l7WJ3RER9xtqwdhxkhw/edit?usp=sharing"",""ตราด!I28"")"),0)</f>
        <v>0</v>
      </c>
      <c r="J88" s="204">
        <f ca="1">IFERROR(__xludf.DUMMYFUNCTION("IMPORTRANGE(""https://docs.google.com/spreadsheets/d/1SX6NBoVAgQJ6U1MVXOaj8PK2l7WJ3RER9xtqwdhxkhw/edit?usp=sharing"",""ตราด!J28"")"),0)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IFERROR(__xludf.DUMMYFUNCTION("IMPORTRANGE(""https://docs.google.com/spreadsheets/d/1SX6NBoVAgQJ6U1MVXOaj8PK2l7WJ3RER9xtqwdhxkhw/edit?usp=sharing"",""ตราด!J29"")"),0)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IFERROR(__xludf.DUMMYFUNCTION("IMPORTRANGE(""https://docs.google.com/spreadsheets/d/1SX6NBoVAgQJ6U1MVXOaj8PK2l7WJ3RER9xtqwdhxkhw/edit?usp=sharing"",""ตราด!J30"")"),0)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IFERROR(__xludf.DUMMYFUNCTION("IMPORTRANGE(""https://docs.google.com/spreadsheets/d/1SX6NBoVAgQJ6U1MVXOaj8PK2l7WJ3RER9xtqwdhxkhw/edit?usp=sharing"",""ตราด!I32"")"),0)</f>
        <v>0</v>
      </c>
      <c r="J92" s="142">
        <f ca="1">IFERROR(__xludf.DUMMYFUNCTION("IMPORTRANGE(""https://docs.google.com/spreadsheets/d/1SX6NBoVAgQJ6U1MVXOaj8PK2l7WJ3RER9xtqwdhxkhw/edit?usp=sharing"",""ตราด!J32"")"),0)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IFERROR(__xludf.DUMMYFUNCTION("IMPORTRANGE(""https://docs.google.com/spreadsheets/d/1SX6NBoVAgQJ6U1MVXOaj8PK2l7WJ3RER9xtqwdhxkhw/edit?usp=sharing"",""ตราด!I33"")"),0)</f>
        <v>0</v>
      </c>
      <c r="J93" s="142">
        <f ca="1">IFERROR(__xludf.DUMMYFUNCTION("IMPORTRANGE(""https://docs.google.com/spreadsheets/d/1SX6NBoVAgQJ6U1MVXOaj8PK2l7WJ3RER9xtqwdhxkhw/edit?usp=sharing"",""ตราด!J33"")"),0)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IFERROR(__xludf.DUMMYFUNCTION("IMPORTRANGE(""https://docs.google.com/spreadsheets/d/1Yj_ptqi66GCucihVvJfMjLAmec39IyEx_6qawtMGysU/edit?usp=sharing"",""สบก!AR64"")"),0)</f>
        <v>0</v>
      </c>
      <c r="N98" s="169">
        <f ca="1">IFERROR(__xludf.DUMMYFUNCTION("IMPORTRANGE(""https://docs.google.com/spreadsheets/d/1Yj_ptqi66GCucihVvJfMjLAmec39IyEx_6qawtMGysU/edit?usp=sharing"",""สบก!AS64"")"),0)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IFERROR(__xludf.DUMMYFUNCTION("IMPORTRANGE(""https://docs.google.com/spreadsheets/d/1Yj_ptqi66GCucihVvJfMjLAmec39IyEx_6qawtMGysU/edit?usp=sharing"",""สบก!AP64"")"),0)</f>
        <v>0</v>
      </c>
      <c r="M102" s="49"/>
      <c r="N102" s="49">
        <f ca="1">IFERROR(__xludf.DUMMYFUNCTION("IMPORTRANGE(""https://docs.google.com/spreadsheets/d/1Yj_ptqi66GCucihVvJfMjLAmec39IyEx_6qawtMGysU/edit?usp=sharing"",""สบก!AT64"")"),0)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IFERROR(__xludf.DUMMYFUNCTION("IMPORTRANGE(""https://docs.google.com/spreadsheets/d/1SX6NBoVAgQJ6U1MVXOaj8PK2l7WJ3RER9xtqwdhxkhw/edit?usp=sharing"",""ตราด!J39"")"),0)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IFERROR(__xludf.DUMMYFUNCTION("IMPORTRANGE(""https://docs.google.com/spreadsheets/d/1SX6NBoVAgQJ6U1MVXOaj8PK2l7WJ3RER9xtqwdhxkhw/edit?usp=sharing"",""ตราด!J40"")"),0)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IFERROR(__xludf.DUMMYFUNCTION("IMPORTRANGE(""https://docs.google.com/spreadsheets/d/1SX6NBoVAgQJ6U1MVXOaj8PK2l7WJ3RER9xtqwdhxkhw/edit?usp=sharing"",""ตราด!J41"")"),0)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IFERROR(__xludf.DUMMYFUNCTION("IMPORTRANGE(""https://docs.google.com/spreadsheets/d/1SX6NBoVAgQJ6U1MVXOaj8PK2l7WJ3RER9xtqwdhxkhw/edit?usp=sharing"",""ตราด!J42"")"),0)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IFERROR(__xludf.DUMMYFUNCTION("IMPORTRANGE(""https://docs.google.com/spreadsheets/d/1SX6NBoVAgQJ6U1MVXOaj8PK2l7WJ3RER9xtqwdhxkhw/edit?usp=sharing"",""ตราด!I43"")"),0)</f>
        <v>0</v>
      </c>
      <c r="J108" s="204">
        <f ca="1">IFERROR(__xludf.DUMMYFUNCTION("IMPORTRANGE(""https://docs.google.com/spreadsheets/d/1SX6NBoVAgQJ6U1MVXOaj8PK2l7WJ3RER9xtqwdhxkhw/edit?usp=sharing"",""ตราด!J43"")"),0)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IFERROR(__xludf.DUMMYFUNCTION("IMPORTRANGE(""https://docs.google.com/spreadsheets/d/1SX6NBoVAgQJ6U1MVXOaj8PK2l7WJ3RER9xtqwdhxkhw/edit?usp=sharing"",""ตราด!I44"")"),0)</f>
        <v>0</v>
      </c>
      <c r="J109" s="204">
        <f ca="1">IFERROR(__xludf.DUMMYFUNCTION("IMPORTRANGE(""https://docs.google.com/spreadsheets/d/1SX6NBoVAgQJ6U1MVXOaj8PK2l7WJ3RER9xtqwdhxkhw/edit?usp=sharing"",""ตราด!J44"")"),0)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IFERROR(__xludf.DUMMYFUNCTION("IMPORTRANGE(""https://docs.google.com/spreadsheets/d/1SX6NBoVAgQJ6U1MVXOaj8PK2l7WJ3RER9xtqwdhxkhw/edit?usp=sharing"",""ตราด!I45"")"),0)</f>
        <v>0</v>
      </c>
      <c r="J110" s="204">
        <f ca="1">IFERROR(__xludf.DUMMYFUNCTION("IMPORTRANGE(""https://docs.google.com/spreadsheets/d/1SX6NBoVAgQJ6U1MVXOaj8PK2l7WJ3RER9xtqwdhxkhw/edit?usp=sharing"",""ตราด!J45"")"),0)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IFERROR(__xludf.DUMMYFUNCTION("IMPORTRANGE(""https://docs.google.com/spreadsheets/d/1SX6NBoVAgQJ6U1MVXOaj8PK2l7WJ3RER9xtqwdhxkhw/edit?usp=sharing"",""ตราด!I46"")"),0)</f>
        <v>0</v>
      </c>
      <c r="J111" s="204">
        <f ca="1">IFERROR(__xludf.DUMMYFUNCTION("IMPORTRANGE(""https://docs.google.com/spreadsheets/d/1SX6NBoVAgQJ6U1MVXOaj8PK2l7WJ3RER9xtqwdhxkhw/edit?usp=sharing"",""ตราด!J46"")"),0)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IFERROR(__xludf.DUMMYFUNCTION("IMPORTRANGE(""https://docs.google.com/spreadsheets/d/1SX6NBoVAgQJ6U1MVXOaj8PK2l7WJ3RER9xtqwdhxkhw/edit?usp=sharing"",""ตราด!I47"")"),0)</f>
        <v>0</v>
      </c>
      <c r="J112" s="204">
        <f ca="1">IFERROR(__xludf.DUMMYFUNCTION("IMPORTRANGE(""https://docs.google.com/spreadsheets/d/1SX6NBoVAgQJ6U1MVXOaj8PK2l7WJ3RER9xtqwdhxkhw/edit?usp=sharing"",""ตราด!J47"")"),0)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IFERROR(__xludf.DUMMYFUNCTION("IMPORTRANGE(""https://docs.google.com/spreadsheets/d/1SX6NBoVAgQJ6U1MVXOaj8PK2l7WJ3RER9xtqwdhxkhw/edit?usp=sharing"",""ตราด!I48"")"),0)</f>
        <v>0</v>
      </c>
      <c r="J113" s="204">
        <f ca="1">IFERROR(__xludf.DUMMYFUNCTION("IMPORTRANGE(""https://docs.google.com/spreadsheets/d/1SX6NBoVAgQJ6U1MVXOaj8PK2l7WJ3RER9xtqwdhxkhw/edit?usp=sharing"",""ตราด!J48"")"),0)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IFERROR(__xludf.DUMMYFUNCTION("IMPORTRANGE(""https://docs.google.com/spreadsheets/d/1SX6NBoVAgQJ6U1MVXOaj8PK2l7WJ3RER9xtqwdhxkhw/edit?usp=sharing"",""ตราด!J49"")"),0)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IFERROR(__xludf.DUMMYFUNCTION("IMPORTRANGE(""https://docs.google.com/spreadsheets/d/1SX6NBoVAgQJ6U1MVXOaj8PK2l7WJ3RER9xtqwdhxkhw/edit?usp=sharing"",""ตราด!J50"")"),0)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IFERROR(__xludf.DUMMYFUNCTION("IMPORTRANGE(""https://docs.google.com/spreadsheets/d/1SX6NBoVAgQJ6U1MVXOaj8PK2l7WJ3RER9xtqwdhxkhw/edit?usp=sharing"",""ตราด!I52"")"),0)</f>
        <v>0</v>
      </c>
      <c r="J117" s="142">
        <f ca="1">IFERROR(__xludf.DUMMYFUNCTION("IMPORTRANGE(""https://docs.google.com/spreadsheets/d/1SX6NBoVAgQJ6U1MVXOaj8PK2l7WJ3RER9xtqwdhxkhw/edit?usp=sharing"",""ตราด!J52"")"),0)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IFERROR(__xludf.DUMMYFUNCTION("IMPORTRANGE(""https://docs.google.com/spreadsheets/d/1Yj_ptqi66GCucihVvJfMjLAmec39IyEx_6qawtMGysU/edit?usp=sharing"",""สบก!BA64"")"),0)</f>
        <v>0</v>
      </c>
      <c r="N122" s="169">
        <f ca="1">IFERROR(__xludf.DUMMYFUNCTION("IMPORTRANGE(""https://docs.google.com/spreadsheets/d/1Yj_ptqi66GCucihVvJfMjLAmec39IyEx_6qawtMGysU/edit?usp=sharing"",""สบก!BB64"")"),0)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IFERROR(__xludf.DUMMYFUNCTION("IMPORTRANGE(""https://docs.google.com/spreadsheets/d/1Yj_ptqi66GCucihVvJfMjLAmec39IyEx_6qawtMGysU/edit?usp=sharing"",""สบก!AY64"")"),0)</f>
        <v>0</v>
      </c>
      <c r="M126" s="49"/>
      <c r="N126" s="49">
        <f ca="1">IFERROR(__xludf.DUMMYFUNCTION("IMPORTRANGE(""https://docs.google.com/spreadsheets/d/1Yj_ptqi66GCucihVvJfMjLAmec39IyEx_6qawtMGysU/edit?usp=sharing"",""สบก!BC64"")"),0)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IFERROR(__xludf.DUMMYFUNCTION("IMPORTRANGE(""https://docs.google.com/spreadsheets/d/1SX6NBoVAgQJ6U1MVXOaj8PK2l7WJ3RER9xtqwdhxkhw/edit?usp=sharing"",""ตราด!J58"")"),0)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IFERROR(__xludf.DUMMYFUNCTION("IMPORTRANGE(""https://docs.google.com/spreadsheets/d/1SX6NBoVAgQJ6U1MVXOaj8PK2l7WJ3RER9xtqwdhxkhw/edit?usp=sharing"",""ตราด!J59"")"),0)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IFERROR(__xludf.DUMMYFUNCTION("IMPORTRANGE(""https://docs.google.com/spreadsheets/d/1SX6NBoVAgQJ6U1MVXOaj8PK2l7WJ3RER9xtqwdhxkhw/edit?usp=sharing"",""ตราด!J60"")"),0)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IFERROR(__xludf.DUMMYFUNCTION("IMPORTRANGE(""https://docs.google.com/spreadsheets/d/1SX6NBoVAgQJ6U1MVXOaj8PK2l7WJ3RER9xtqwdhxkhw/edit?usp=sharing"",""ตราด!J61"")"),0)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IFERROR(__xludf.DUMMYFUNCTION("IMPORTRANGE(""https://docs.google.com/spreadsheets/d/1SX6NBoVAgQJ6U1MVXOaj8PK2l7WJ3RER9xtqwdhxkhw/edit?usp=sharing"",""ตราด!I62"")"),0)</f>
        <v>0</v>
      </c>
      <c r="J132" s="204">
        <f ca="1">IFERROR(__xludf.DUMMYFUNCTION("IMPORTRANGE(""https://docs.google.com/spreadsheets/d/1SX6NBoVAgQJ6U1MVXOaj8PK2l7WJ3RER9xtqwdhxkhw/edit?usp=sharing"",""ตราด!J62"")"),0)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IFERROR(__xludf.DUMMYFUNCTION("IMPORTRANGE(""https://docs.google.com/spreadsheets/d/1SX6NBoVAgQJ6U1MVXOaj8PK2l7WJ3RER9xtqwdhxkhw/edit?usp=sharing"",""ตราด!I63"")"),0)</f>
        <v>0</v>
      </c>
      <c r="J133" s="204">
        <f ca="1">IFERROR(__xludf.DUMMYFUNCTION("IMPORTRANGE(""https://docs.google.com/spreadsheets/d/1SX6NBoVAgQJ6U1MVXOaj8PK2l7WJ3RER9xtqwdhxkhw/edit?usp=sharing"",""ตราด!J63"")"),0)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IFERROR(__xludf.DUMMYFUNCTION("IMPORTRANGE(""https://docs.google.com/spreadsheets/d/1SX6NBoVAgQJ6U1MVXOaj8PK2l7WJ3RER9xtqwdhxkhw/edit?usp=sharing"",""ตราด!J64"")"),0)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IFERROR(__xludf.DUMMYFUNCTION("IMPORTRANGE(""https://docs.google.com/spreadsheets/d/1SX6NBoVAgQJ6U1MVXOaj8PK2l7WJ3RER9xtqwdhxkhw/edit?usp=sharing"",""ตราด!J65"")"),0)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IFERROR(__xludf.DUMMYFUNCTION("IMPORTRANGE(""https://docs.google.com/spreadsheets/d/1SX6NBoVAgQJ6U1MVXOaj8PK2l7WJ3RER9xtqwdhxkhw/edit?usp=sharing"",""ตราด!I68"")"),0)</f>
        <v>0</v>
      </c>
      <c r="J138" s="268">
        <f ca="1">IFERROR(__xludf.DUMMYFUNCTION("IMPORTRANGE(""https://docs.google.com/spreadsheets/d/1SX6NBoVAgQJ6U1MVXOaj8PK2l7WJ3RER9xtqwdhxkhw/edit?usp=sharing"",""ตราด!J68"")"),0)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45700</v>
      </c>
      <c r="M140" s="152">
        <f t="shared" ca="1" si="64"/>
        <v>45700</v>
      </c>
      <c r="N140" s="152">
        <f t="shared" ca="1" si="64"/>
        <v>43870</v>
      </c>
      <c r="O140" s="151">
        <f t="shared" ref="O140:O142" ca="1" si="65">IF(L140&gt;0,N140*100/L140,0)</f>
        <v>95.995623632385119</v>
      </c>
      <c r="P140" s="151">
        <f t="shared" ref="P140:P142" ca="1" si="66">IF(M140&gt;0,N140*100/M140,0)</f>
        <v>95.995623632385119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45700</v>
      </c>
      <c r="M142" s="157">
        <f t="shared" ca="1" si="68"/>
        <v>45700</v>
      </c>
      <c r="N142" s="157">
        <f t="shared" ca="1" si="68"/>
        <v>43870</v>
      </c>
      <c r="O142" s="156">
        <f t="shared" ca="1" si="65"/>
        <v>95.995623632385119</v>
      </c>
      <c r="P142" s="156">
        <f t="shared" ca="1" si="66"/>
        <v>95.995623632385119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45700</v>
      </c>
      <c r="M144" s="168">
        <f ca="1">IFERROR(__xludf.DUMMYFUNCTION("IMPORTRANGE(""https://docs.google.com/spreadsheets/d/1Yj_ptqi66GCucihVvJfMjLAmec39IyEx_6qawtMGysU/edit?usp=sharing"",""สบก!BJ64"")"),45700)</f>
        <v>45700</v>
      </c>
      <c r="N144" s="169">
        <f ca="1">IFERROR(__xludf.DUMMYFUNCTION("IMPORTRANGE(""https://docs.google.com/spreadsheets/d/1Yj_ptqi66GCucihVvJfMjLAmec39IyEx_6qawtMGysU/edit?usp=sharing"",""สบก!BK64"")"),43870)</f>
        <v>43870</v>
      </c>
      <c r="O144" s="169">
        <f ca="1">IF(L144&gt;0,N144*100/L144,0)</f>
        <v>95.995623632385119</v>
      </c>
      <c r="P144" s="169">
        <f ca="1">IF(M144&gt;0,N144*100/M144,0)</f>
        <v>95.995623632385119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IFERROR(__xludf.DUMMYFUNCTION("IMPORTRANGE(""https://docs.google.com/spreadsheets/d/1Yj_ptqi66GCucihVvJfMjLAmec39IyEx_6qawtMGysU/edit?usp=sharing"",""สบก!BG64"")"),45700)</f>
        <v>45700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IFERROR(__xludf.DUMMYFUNCTION("IMPORTRANGE(""https://docs.google.com/spreadsheets/d/1Yj_ptqi66GCucihVvJfMjLAmec39IyEx_6qawtMGysU/edit?usp=sharing"",""สบก!BH64"")"),0)</f>
        <v>0</v>
      </c>
      <c r="M148" s="49"/>
      <c r="N148" s="49">
        <f ca="1">IFERROR(__xludf.DUMMYFUNCTION("IMPORTRANGE(""https://docs.google.com/spreadsheets/d/1Yj_ptqi66GCucihVvJfMjLAmec39IyEx_6qawtMGysU/edit?usp=sharing"",""สบก!BL64"")"),0)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IFERROR(__xludf.DUMMYFUNCTION("IMPORTRANGE(""https://docs.google.com/spreadsheets/d/1SX6NBoVAgQJ6U1MVXOaj8PK2l7WJ3RER9xtqwdhxkhw/edit?usp=sharing"",""ตราด!I74"")"),4)</f>
        <v>4</v>
      </c>
      <c r="J149" s="276">
        <f ca="1">IFERROR(__xludf.DUMMYFUNCTION("IMPORTRANGE(""https://docs.google.com/spreadsheets/d/1SX6NBoVAgQJ6U1MVXOaj8PK2l7WJ3RER9xtqwdhxkhw/edit?usp=sharing"",""ตราด!J74"")"),3)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IFERROR(__xludf.DUMMYFUNCTION("IMPORTRANGE(""https://docs.google.com/spreadsheets/d/1SX6NBoVAgQJ6U1MVXOaj8PK2l7WJ3RER9xtqwdhxkhw/edit?usp=sharing"",""ตราด!J79"")"),0)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IFERROR(__xludf.DUMMYFUNCTION("IMPORTRANGE(""https://docs.google.com/spreadsheets/d/1SX6NBoVAgQJ6U1MVXOaj8PK2l7WJ3RER9xtqwdhxkhw/edit?usp=sharing"",""ตราด!J80"")"),1)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IFERROR(__xludf.DUMMYFUNCTION("IMPORTRANGE(""https://docs.google.com/spreadsheets/d/1SX6NBoVAgQJ6U1MVXOaj8PK2l7WJ3RER9xtqwdhxkhw/edit?usp=sharing"",""ตราด!J81"")"),1)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IFERROR(__xludf.DUMMYFUNCTION("IMPORTRANGE(""https://docs.google.com/spreadsheets/d/1SX6NBoVAgQJ6U1MVXOaj8PK2l7WJ3RER9xtqwdhxkhw/edit?usp=sharing"",""ตราด!J82"")"),1)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IFERROR(__xludf.DUMMYFUNCTION("IMPORTRANGE(""https://docs.google.com/spreadsheets/d/1SX6NBoVAgQJ6U1MVXOaj8PK2l7WJ3RER9xtqwdhxkhw/edit?usp=sharing"",""ตราด!I83"")"),4)</f>
        <v>4</v>
      </c>
      <c r="J158" s="189">
        <f ca="1">IFERROR(__xludf.DUMMYFUNCTION("IMPORTRANGE(""https://docs.google.com/spreadsheets/d/1SX6NBoVAgQJ6U1MVXOaj8PK2l7WJ3RER9xtqwdhxkhw/edit?usp=sharing"",""ตราด!J83"")"),3)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IFERROR(__xludf.DUMMYFUNCTION("IMPORTRANGE(""https://docs.google.com/spreadsheets/d/1SX6NBoVAgQJ6U1MVXOaj8PK2l7WJ3RER9xtqwdhxkhw/edit?usp=sharing"",""ตราด!J84"")"),94)</f>
        <v>94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IFERROR(__xludf.DUMMYFUNCTION("IMPORTRANGE(""https://docs.google.com/spreadsheets/d/1SX6NBoVAgQJ6U1MVXOaj8PK2l7WJ3RER9xtqwdhxkhw/edit?usp=sharing"",""ตราด!J85"")"),94)</f>
        <v>94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IFERROR(__xludf.DUMMYFUNCTION("IMPORTRANGE(""https://docs.google.com/spreadsheets/d/1SX6NBoVAgQJ6U1MVXOaj8PK2l7WJ3RER9xtqwdhxkhw/edit?usp=sharing"",""ตราด!J86"")"),0)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IFERROR(__xludf.DUMMYFUNCTION("IMPORTRANGE(""https://docs.google.com/spreadsheets/d/1SX6NBoVAgQJ6U1MVXOaj8PK2l7WJ3RER9xtqwdhxkhw/edit?usp=sharing"",""ตราด!J87"")"),0)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IFERROR(__xludf.DUMMYFUNCTION("IMPORTRANGE(""https://docs.google.com/spreadsheets/d/1SX6NBoVAgQJ6U1MVXOaj8PK2l7WJ3RER9xtqwdhxkhw/edit?usp=sharing"",""ตราด!J88"")"),0)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IFERROR(__xludf.DUMMYFUNCTION("IMPORTRANGE(""https://docs.google.com/spreadsheets/d/1SX6NBoVAgQJ6U1MVXOaj8PK2l7WJ3RER9xtqwdhxkhw/edit?usp=sharing"",""ตราด!I89"")"),1)</f>
        <v>1</v>
      </c>
      <c r="J164" s="285">
        <f ca="1">IFERROR(__xludf.DUMMYFUNCTION("IMPORTRANGE(""https://docs.google.com/spreadsheets/d/1SX6NBoVAgQJ6U1MVXOaj8PK2l7WJ3RER9xtqwdhxkhw/edit?usp=sharing"",""ตราด!J89"")"),1)</f>
        <v>1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IFERROR(__xludf.DUMMYFUNCTION("IMPORTRANGE(""https://docs.google.com/spreadsheets/d/1SX6NBoVAgQJ6U1MVXOaj8PK2l7WJ3RER9xtqwdhxkhw/edit?usp=sharing"",""ตราด!J94"")"),0)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IFERROR(__xludf.DUMMYFUNCTION("IMPORTRANGE(""https://docs.google.com/spreadsheets/d/1SX6NBoVAgQJ6U1MVXOaj8PK2l7WJ3RER9xtqwdhxkhw/edit?usp=sharing"",""ตราด!J95"")"),1)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IFERROR(__xludf.DUMMYFUNCTION("IMPORTRANGE(""https://docs.google.com/spreadsheets/d/1SX6NBoVAgQJ6U1MVXOaj8PK2l7WJ3RER9xtqwdhxkhw/edit?usp=sharing"",""ตราด!J96"")"),1)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IFERROR(__xludf.DUMMYFUNCTION("IMPORTRANGE(""https://docs.google.com/spreadsheets/d/1SX6NBoVAgQJ6U1MVXOaj8PK2l7WJ3RER9xtqwdhxkhw/edit?usp=sharing"",""ตราด!J97"")"),1)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IFERROR(__xludf.DUMMYFUNCTION("IMPORTRANGE(""https://docs.google.com/spreadsheets/d/1SX6NBoVAgQJ6U1MVXOaj8PK2l7WJ3RER9xtqwdhxkhw/edit?usp=sharing"",""ตราด!I98"")"),1)</f>
        <v>1</v>
      </c>
      <c r="J173" s="189">
        <f ca="1">IFERROR(__xludf.DUMMYFUNCTION("IMPORTRANGE(""https://docs.google.com/spreadsheets/d/1SX6NBoVAgQJ6U1MVXOaj8PK2l7WJ3RER9xtqwdhxkhw/edit?usp=sharing"",""ตราด!J98"")"),1)</f>
        <v>1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IFERROR(__xludf.DUMMYFUNCTION("IMPORTRANGE(""https://docs.google.com/spreadsheets/d/1SX6NBoVAgQJ6U1MVXOaj8PK2l7WJ3RER9xtqwdhxkhw/edit?usp=sharing"",""ตราด!J99"")"),0)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IFERROR(__xludf.DUMMYFUNCTION("IMPORTRANGE(""https://docs.google.com/spreadsheets/d/1SX6NBoVAgQJ6U1MVXOaj8PK2l7WJ3RER9xtqwdhxkhw/edit?usp=sharing"",""ตราด!J100"")"),0)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IFERROR(__xludf.DUMMYFUNCTION("IMPORTRANGE(""https://docs.google.com/spreadsheets/d/1SX6NBoVAgQJ6U1MVXOaj8PK2l7WJ3RER9xtqwdhxkhw/edit?usp=sharing"",""ตราด!I101"")"),1)</f>
        <v>1</v>
      </c>
      <c r="J176" s="285">
        <f ca="1">IFERROR(__xludf.DUMMYFUNCTION("IMPORTRANGE(""https://docs.google.com/spreadsheets/d/1SX6NBoVAgQJ6U1MVXOaj8PK2l7WJ3RER9xtqwdhxkhw/edit?usp=sharing"",""ตราด!J101"")"),1)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IFERROR(__xludf.DUMMYFUNCTION("IMPORTRANGE(""https://docs.google.com/spreadsheets/d/1SX6NBoVAgQJ6U1MVXOaj8PK2l7WJ3RER9xtqwdhxkhw/edit?usp=sharing"",""ตราด!J106"")"),0)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IFERROR(__xludf.DUMMYFUNCTION("IMPORTRANGE(""https://docs.google.com/spreadsheets/d/1SX6NBoVAgQJ6U1MVXOaj8PK2l7WJ3RER9xtqwdhxkhw/edit?usp=sharing"",""ตราด!J107"")"),1)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IFERROR(__xludf.DUMMYFUNCTION("IMPORTRANGE(""https://docs.google.com/spreadsheets/d/1SX6NBoVAgQJ6U1MVXOaj8PK2l7WJ3RER9xtqwdhxkhw/edit?usp=sharing"",""ตราด!J108"")"),1)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IFERROR(__xludf.DUMMYFUNCTION("IMPORTRANGE(""https://docs.google.com/spreadsheets/d/1SX6NBoVAgQJ6U1MVXOaj8PK2l7WJ3RER9xtqwdhxkhw/edit?usp=sharing"",""ตราด!J109"")"),1)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IFERROR(__xludf.DUMMYFUNCTION("IMPORTRANGE(""https://docs.google.com/spreadsheets/d/1SX6NBoVAgQJ6U1MVXOaj8PK2l7WJ3RER9xtqwdhxkhw/edit?usp=sharing"",""ตราด!I110"")"),1)</f>
        <v>1</v>
      </c>
      <c r="J185" s="204">
        <f ca="1">IFERROR(__xludf.DUMMYFUNCTION("IMPORTRANGE(""https://docs.google.com/spreadsheets/d/1SX6NBoVAgQJ6U1MVXOaj8PK2l7WJ3RER9xtqwdhxkhw/edit?usp=sharing"",""ตราด!J110"")"),1)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IFERROR(__xludf.DUMMYFUNCTION("IMPORTRANGE(""https://docs.google.com/spreadsheets/d/1SX6NBoVAgQJ6U1MVXOaj8PK2l7WJ3RER9xtqwdhxkhw/edit?usp=sharing"",""ตราด!I111"")"),1)</f>
        <v>1</v>
      </c>
      <c r="J186" s="204">
        <f ca="1">IFERROR(__xludf.DUMMYFUNCTION("IMPORTRANGE(""https://docs.google.com/spreadsheets/d/1SX6NBoVAgQJ6U1MVXOaj8PK2l7WJ3RER9xtqwdhxkhw/edit?usp=sharing"",""ตราด!J111"")"),1)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IFERROR(__xludf.DUMMYFUNCTION("IMPORTRANGE(""https://docs.google.com/spreadsheets/d/1SX6NBoVAgQJ6U1MVXOaj8PK2l7WJ3RER9xtqwdhxkhw/edit?usp=sharing"",""ตราด!J112"")"),0)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IFERROR(__xludf.DUMMYFUNCTION("IMPORTRANGE(""https://docs.google.com/spreadsheets/d/1SX6NBoVAgQJ6U1MVXOaj8PK2l7WJ3RER9xtqwdhxkhw/edit?usp=sharing"",""ตราด!J113"")"),0)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IFERROR(__xludf.DUMMYFUNCTION("IMPORTRANGE(""https://docs.google.com/spreadsheets/d/1SX6NBoVAgQJ6U1MVXOaj8PK2l7WJ3RER9xtqwdhxkhw/edit?usp=sharing"",""ตราด!I114"")"),3200)</f>
        <v>3200</v>
      </c>
      <c r="J189" s="285">
        <f ca="1">IFERROR(__xludf.DUMMYFUNCTION("IMPORTRANGE(""https://docs.google.com/spreadsheets/d/1SX6NBoVAgQJ6U1MVXOaj8PK2l7WJ3RER9xtqwdhxkhw/edit?usp=sharing"",""ตราด!J114"")"),3200)</f>
        <v>3200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IFERROR(__xludf.DUMMYFUNCTION("IMPORTRANGE(""https://docs.google.com/spreadsheets/d/1SX6NBoVAgQJ6U1MVXOaj8PK2l7WJ3RER9xtqwdhxkhw/edit?usp=sharing"",""ตราด!J119"")"),0)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IFERROR(__xludf.DUMMYFUNCTION("IMPORTRANGE(""https://docs.google.com/spreadsheets/d/1SX6NBoVAgQJ6U1MVXOaj8PK2l7WJ3RER9xtqwdhxkhw/edit?usp=sharing"",""ตราด!J120"")"),0)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IFERROR(__xludf.DUMMYFUNCTION("IMPORTRANGE(""https://docs.google.com/spreadsheets/d/1SX6NBoVAgQJ6U1MVXOaj8PK2l7WJ3RER9xtqwdhxkhw/edit?usp=sharing"",""ตราด!J121"")"),0)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IFERROR(__xludf.DUMMYFUNCTION("IMPORTRANGE(""https://docs.google.com/spreadsheets/d/1SX6NBoVAgQJ6U1MVXOaj8PK2l7WJ3RER9xtqwdhxkhw/edit?usp=sharing"",""ตราด!J122"")"),1)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IFERROR(__xludf.DUMMYFUNCTION("IMPORTRANGE(""https://docs.google.com/spreadsheets/d/1SX6NBoVAgQJ6U1MVXOaj8PK2l7WJ3RER9xtqwdhxkhw/edit?usp=sharing"",""ตราด!I124"")"),3200)</f>
        <v>3200</v>
      </c>
      <c r="J199" s="189">
        <f ca="1">IFERROR(__xludf.DUMMYFUNCTION("IMPORTRANGE(""https://docs.google.com/spreadsheets/d/1SX6NBoVAgQJ6U1MVXOaj8PK2l7WJ3RER9xtqwdhxkhw/edit?usp=sharing"",""ตราด!J124"")"),3200)</f>
        <v>3200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IFERROR(__xludf.DUMMYFUNCTION("IMPORTRANGE(""https://docs.google.com/spreadsheets/d/1SX6NBoVAgQJ6U1MVXOaj8PK2l7WJ3RER9xtqwdhxkhw/edit?usp=sharing"",""ตราด!I125"")"),3200)</f>
        <v>3200</v>
      </c>
      <c r="J200" s="189">
        <f ca="1">IFERROR(__xludf.DUMMYFUNCTION("IMPORTRANGE(""https://docs.google.com/spreadsheets/d/1SX6NBoVAgQJ6U1MVXOaj8PK2l7WJ3RER9xtqwdhxkhw/edit?usp=sharing"",""ตราด!J125"")"),3200)</f>
        <v>3200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IFERROR(__xludf.DUMMYFUNCTION("IMPORTRANGE(""https://docs.google.com/spreadsheets/d/1SX6NBoVAgQJ6U1MVXOaj8PK2l7WJ3RER9xtqwdhxkhw/edit?usp=sharing"",""ตราด!I126"")"),0)</f>
        <v>0</v>
      </c>
      <c r="J201" s="189">
        <f ca="1">IFERROR(__xludf.DUMMYFUNCTION("IMPORTRANGE(""https://docs.google.com/spreadsheets/d/1SX6NBoVAgQJ6U1MVXOaj8PK2l7WJ3RER9xtqwdhxkhw/edit?usp=sharing"",""ตราด!J126"")"),0)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IFERROR(__xludf.DUMMYFUNCTION("IMPORTRANGE(""https://docs.google.com/spreadsheets/d/1SX6NBoVAgQJ6U1MVXOaj8PK2l7WJ3RER9xtqwdhxkhw/edit?usp=sharing"",""ตราด!J127"")"),0)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IFERROR(__xludf.DUMMYFUNCTION("IMPORTRANGE(""https://docs.google.com/spreadsheets/d/1SX6NBoVAgQJ6U1MVXOaj8PK2l7WJ3RER9xtqwdhxkhw/edit?usp=sharing"",""ตราด!J128"")"),0)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IFERROR(__xludf.DUMMYFUNCTION("IMPORTRANGE(""https://docs.google.com/spreadsheets/d/1SX6NBoVAgQJ6U1MVXOaj8PK2l7WJ3RER9xtqwdhxkhw/edit?usp=sharing"",""ตราด!I129"")"),0)</f>
        <v>0</v>
      </c>
      <c r="J204" s="285">
        <f ca="1">IFERROR(__xludf.DUMMYFUNCTION("IMPORTRANGE(""https://docs.google.com/spreadsheets/d/1SX6NBoVAgQJ6U1MVXOaj8PK2l7WJ3RER9xtqwdhxkhw/edit?usp=sharing"",""ตราด!J129"")"),0)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IFERROR(__xludf.DUMMYFUNCTION("IMPORTRANGE(""https://docs.google.com/spreadsheets/d/1SX6NBoVAgQJ6U1MVXOaj8PK2l7WJ3RER9xtqwdhxkhw/edit?usp=sharing"",""ตราด!J134"")"),0)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IFERROR(__xludf.DUMMYFUNCTION("IMPORTRANGE(""https://docs.google.com/spreadsheets/d/1SX6NBoVAgQJ6U1MVXOaj8PK2l7WJ3RER9xtqwdhxkhw/edit?usp=sharing"",""ตราด!J135"")"),0)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IFERROR(__xludf.DUMMYFUNCTION("IMPORTRANGE(""https://docs.google.com/spreadsheets/d/1SX6NBoVAgQJ6U1MVXOaj8PK2l7WJ3RER9xtqwdhxkhw/edit?usp=sharing"",""ตราด!J136"")"),0)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IFERROR(__xludf.DUMMYFUNCTION("IMPORTRANGE(""https://docs.google.com/spreadsheets/d/1SX6NBoVAgQJ6U1MVXOaj8PK2l7WJ3RER9xtqwdhxkhw/edit?usp=sharing"",""ตราด!J137"")"),0)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IFERROR(__xludf.DUMMYFUNCTION("IMPORTRANGE(""https://docs.google.com/spreadsheets/d/1SX6NBoVAgQJ6U1MVXOaj8PK2l7WJ3RER9xtqwdhxkhw/edit?usp=sharing"",""ตราด!I138"")"),0)</f>
        <v>0</v>
      </c>
      <c r="J213" s="204">
        <f ca="1">IFERROR(__xludf.DUMMYFUNCTION("IMPORTRANGE(""https://docs.google.com/spreadsheets/d/1SX6NBoVAgQJ6U1MVXOaj8PK2l7WJ3RER9xtqwdhxkhw/edit?usp=sharing"",""ตราด!J138"")"),0)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IFERROR(__xludf.DUMMYFUNCTION("IMPORTRANGE(""https://docs.google.com/spreadsheets/d/1SX6NBoVAgQJ6U1MVXOaj8PK2l7WJ3RER9xtqwdhxkhw/edit?usp=sharing"",""ตราด!I140"")"),0)</f>
        <v>0</v>
      </c>
      <c r="J215" s="204">
        <f ca="1">IFERROR(__xludf.DUMMYFUNCTION("IMPORTRANGE(""https://docs.google.com/spreadsheets/d/1SX6NBoVAgQJ6U1MVXOaj8PK2l7WJ3RER9xtqwdhxkhw/edit?usp=sharing"",""ตราด!J140"")"),0)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IFERROR(__xludf.DUMMYFUNCTION("IMPORTRANGE(""https://docs.google.com/spreadsheets/d/1SX6NBoVAgQJ6U1MVXOaj8PK2l7WJ3RER9xtqwdhxkhw/edit?usp=sharing"",""ตราด!I141"")"),0)</f>
        <v>0</v>
      </c>
      <c r="J216" s="204">
        <f ca="1">IFERROR(__xludf.DUMMYFUNCTION("IMPORTRANGE(""https://docs.google.com/spreadsheets/d/1SX6NBoVAgQJ6U1MVXOaj8PK2l7WJ3RER9xtqwdhxkhw/edit?usp=sharing"",""ตราด!J141"")"),0)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IFERROR(__xludf.DUMMYFUNCTION("IMPORTRANGE(""https://docs.google.com/spreadsheets/d/1SX6NBoVAgQJ6U1MVXOaj8PK2l7WJ3RER9xtqwdhxkhw/edit?usp=sharing"",""ตราด!J142"")"),0)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IFERROR(__xludf.DUMMYFUNCTION("IMPORTRANGE(""https://docs.google.com/spreadsheets/d/1SX6NBoVAgQJ6U1MVXOaj8PK2l7WJ3RER9xtqwdhxkhw/edit?usp=sharing"",""ตราด!J143"")"),0)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IFERROR(__xludf.DUMMYFUNCTION("IMPORTRANGE(""https://docs.google.com/spreadsheets/d/1SX6NBoVAgQJ6U1MVXOaj8PK2l7WJ3RER9xtqwdhxkhw/edit?usp=sharing"",""ตราด!I144"")"),14)</f>
        <v>14</v>
      </c>
      <c r="J219" s="268">
        <f ca="1">IFERROR(__xludf.DUMMYFUNCTION("IMPORTRANGE(""https://docs.google.com/spreadsheets/d/1SX6NBoVAgQJ6U1MVXOaj8PK2l7WJ3RER9xtqwdhxkhw/edit?usp=sharing"",""ตราด!J144"")"),14)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168">
        <f ca="1">IFERROR(__xludf.DUMMYFUNCTION("IMPORTRANGE(""https://docs.google.com/spreadsheets/d/1Yj_ptqi66GCucihVvJfMjLAmec39IyEx_6qawtMGysU/edit?usp=sharing"",""สบก!BS64"")"),20210)</f>
        <v>20210</v>
      </c>
      <c r="N224" s="169">
        <f ca="1">IFERROR(__xludf.DUMMYFUNCTION("IMPORTRANGE(""https://docs.google.com/spreadsheets/d/1Yj_ptqi66GCucihVvJfMjLAmec39IyEx_6qawtMGysU/edit?usp=sharing"",""สบก!BT64"")"),20210)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IFERROR(__xludf.DUMMYFUNCTION("IMPORTRANGE(""https://docs.google.com/spreadsheets/d/1Yj_ptqi66GCucihVvJfMjLAmec39IyEx_6qawtMGysU/edit?usp=sharing"",""สบก!BP64"")"),20210)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IFERROR(__xludf.DUMMYFUNCTION("IMPORTRANGE(""https://docs.google.com/spreadsheets/d/1Yj_ptqi66GCucihVvJfMjLAmec39IyEx_6qawtMGysU/edit?usp=sharing"",""สบก!BQ64"")"),0)</f>
        <v>0</v>
      </c>
      <c r="M228" s="49"/>
      <c r="N228" s="49">
        <f ca="1">IFERROR(__xludf.DUMMYFUNCTION("IMPORTRANGE(""https://docs.google.com/spreadsheets/d/1Yj_ptqi66GCucihVvJfMjLAmec39IyEx_6qawtMGysU/edit?usp=sharing"",""สบก!BU64"")"),0)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IFERROR(__xludf.DUMMYFUNCTION("IMPORTRANGE(""https://docs.google.com/spreadsheets/d/1SX6NBoVAgQJ6U1MVXOaj8PK2l7WJ3RER9xtqwdhxkhw/edit?usp=sharing"",""ตราด!I149"")"),14)</f>
        <v>14</v>
      </c>
      <c r="J229" s="268">
        <f ca="1">IFERROR(__xludf.DUMMYFUNCTION("IMPORTRANGE(""https://docs.google.com/spreadsheets/d/1SX6NBoVAgQJ6U1MVXOaj8PK2l7WJ3RER9xtqwdhxkhw/edit?usp=sharing"",""ตราด!J149"")"),14)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IFERROR(__xludf.DUMMYFUNCTION("IMPORTRANGE(""https://docs.google.com/spreadsheets/d/1SX6NBoVAgQJ6U1MVXOaj8PK2l7WJ3RER9xtqwdhxkhw/edit?usp=sharing"",""ตราด!J151"")"),0)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IFERROR(__xludf.DUMMYFUNCTION("IMPORTRANGE(""https://docs.google.com/spreadsheets/d/1SX6NBoVAgQJ6U1MVXOaj8PK2l7WJ3RER9xtqwdhxkhw/edit?usp=sharing"",""ตราด!J152"")"),1)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IFERROR(__xludf.DUMMYFUNCTION("IMPORTRANGE(""https://docs.google.com/spreadsheets/d/1SX6NBoVAgQJ6U1MVXOaj8PK2l7WJ3RER9xtqwdhxkhw/edit?usp=sharing"",""ตราด!J153"")"),1)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IFERROR(__xludf.DUMMYFUNCTION("IMPORTRANGE(""https://docs.google.com/spreadsheets/d/1SX6NBoVAgQJ6U1MVXOaj8PK2l7WJ3RER9xtqwdhxkhw/edit?usp=sharing"",""ตราด!J154"")"),1)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IFERROR(__xludf.DUMMYFUNCTION("IMPORTRANGE(""https://docs.google.com/spreadsheets/d/1SX6NBoVAgQJ6U1MVXOaj8PK2l7WJ3RER9xtqwdhxkhw/edit?usp=sharing"",""ตราด!I155"")"),14)</f>
        <v>14</v>
      </c>
      <c r="J235" s="189">
        <f ca="1">IFERROR(__xludf.DUMMYFUNCTION("IMPORTRANGE(""https://docs.google.com/spreadsheets/d/1SX6NBoVAgQJ6U1MVXOaj8PK2l7WJ3RER9xtqwdhxkhw/edit?usp=sharing"",""ตราด!J155"")"),14)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IFERROR(__xludf.DUMMYFUNCTION("IMPORTRANGE(""https://docs.google.com/spreadsheets/d/1SX6NBoVAgQJ6U1MVXOaj8PK2l7WJ3RER9xtqwdhxkhw/edit?usp=sharing"",""ตราด!J156"")"),0)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IFERROR(__xludf.DUMMYFUNCTION("IMPORTRANGE(""https://docs.google.com/spreadsheets/d/1SX6NBoVAgQJ6U1MVXOaj8PK2l7WJ3RER9xtqwdhxkhw/edit?usp=sharing"",""ตราด!J157"")"),0)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IFERROR(__xludf.DUMMYFUNCTION("IMPORTRANGE(""https://docs.google.com/spreadsheets/d/1SX6NBoVAgQJ6U1MVXOaj8PK2l7WJ3RER9xtqwdhxkhw/edit?usp=sharing"",""ตราด!I158"")"),0)</f>
        <v>0</v>
      </c>
      <c r="J238" s="268">
        <f ca="1">IFERROR(__xludf.DUMMYFUNCTION("IMPORTRANGE(""https://docs.google.com/spreadsheets/d/1SX6NBoVAgQJ6U1MVXOaj8PK2l7WJ3RER9xtqwdhxkhw/edit?usp=sharing"",""ตราด!J158"")"),0)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IFERROR(__xludf.DUMMYFUNCTION("IMPORTRANGE(""https://docs.google.com/spreadsheets/d/1SX6NBoVAgQJ6U1MVXOaj8PK2l7WJ3RER9xtqwdhxkhw/edit?usp=sharing"",""ตราด!J159"")"),"")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IFERROR(__xludf.DUMMYFUNCTION("IMPORTRANGE(""https://docs.google.com/spreadsheets/d/1SX6NBoVAgQJ6U1MVXOaj8PK2l7WJ3RER9xtqwdhxkhw/edit?usp=sharing"",""ตราด!J161"")"),0)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IFERROR(__xludf.DUMMYFUNCTION("IMPORTRANGE(""https://docs.google.com/spreadsheets/d/1SX6NBoVAgQJ6U1MVXOaj8PK2l7WJ3RER9xtqwdhxkhw/edit?usp=sharing"",""ตราด!J162"")"),0)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IFERROR(__xludf.DUMMYFUNCTION("IMPORTRANGE(""https://docs.google.com/spreadsheets/d/1SX6NBoVAgQJ6U1MVXOaj8PK2l7WJ3RER9xtqwdhxkhw/edit?usp=sharing"",""ตราด!J163"")"),0)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IFERROR(__xludf.DUMMYFUNCTION("IMPORTRANGE(""https://docs.google.com/spreadsheets/d/1SX6NBoVAgQJ6U1MVXOaj8PK2l7WJ3RER9xtqwdhxkhw/edit?usp=sharing"",""ตราด!I164"")"),0)</f>
        <v>0</v>
      </c>
      <c r="J244" s="188">
        <f ca="1">IFERROR(__xludf.DUMMYFUNCTION("IMPORTRANGE(""https://docs.google.com/spreadsheets/d/1SX6NBoVAgQJ6U1MVXOaj8PK2l7WJ3RER9xtqwdhxkhw/edit?usp=sharing"",""ตราด!J164"")"),0)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IFERROR(__xludf.DUMMYFUNCTION("IMPORTRANGE(""https://docs.google.com/spreadsheets/d/1SX6NBoVAgQJ6U1MVXOaj8PK2l7WJ3RER9xtqwdhxkhw/edit?usp=sharing"",""ตราด!J165"")"),0)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IFERROR(__xludf.DUMMYFUNCTION("IMPORTRANGE(""https://docs.google.com/spreadsheets/d/1SX6NBoVAgQJ6U1MVXOaj8PK2l7WJ3RER9xtqwdhxkhw/edit?usp=sharing"",""ตราด!J166"")"),0)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IFERROR(__xludf.DUMMYFUNCTION("IMPORTRANGE(""https://docs.google.com/spreadsheets/d/1SX6NBoVAgQJ6U1MVXOaj8PK2l7WJ3RER9xtqwdhxkhw/edit?usp=sharing"",""ตราด!I169"")"),0)</f>
        <v>0</v>
      </c>
      <c r="J249" s="317">
        <f ca="1">IFERROR(__xludf.DUMMYFUNCTION("IMPORTRANGE(""https://docs.google.com/spreadsheets/d/1SX6NBoVAgQJ6U1MVXOaj8PK2l7WJ3RER9xtqwdhxkhw/edit?usp=sharing"",""ตราด!J169"")"),0)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IFERROR(__xludf.DUMMYFUNCTION("IMPORTRANGE(""https://docs.google.com/spreadsheets/d/1Yj_ptqi66GCucihVvJfMjLAmec39IyEx_6qawtMGysU/edit?usp=sharing"",""สบก!CB64"")"),0)</f>
        <v>0</v>
      </c>
      <c r="N254" s="169">
        <f ca="1">IFERROR(__xludf.DUMMYFUNCTION("IMPORTRANGE(""https://docs.google.com/spreadsheets/d/1Yj_ptqi66GCucihVvJfMjLAmec39IyEx_6qawtMGysU/edit?usp=sharing"",""สบก!CC64"")"),0)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IFERROR(__xludf.DUMMYFUNCTION("IMPORTRANGE(""https://docs.google.com/spreadsheets/d/1Yj_ptqi66GCucihVvJfMjLAmec39IyEx_6qawtMGysU/edit?usp=sharing"",""สบก!BZ64"")"),0)</f>
        <v>0</v>
      </c>
      <c r="M258" s="49"/>
      <c r="N258" s="49">
        <f ca="1">IFERROR(__xludf.DUMMYFUNCTION("IMPORTRANGE(""https://docs.google.com/spreadsheets/d/1Yj_ptqi66GCucihVvJfMjLAmec39IyEx_6qawtMGysU/edit?usp=sharing"",""สบก!CD64"")"),0)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IFERROR(__xludf.DUMMYFUNCTION("IMPORTRANGE(""https://docs.google.com/spreadsheets/d/1SX6NBoVAgQJ6U1MVXOaj8PK2l7WJ3RER9xtqwdhxkhw/edit?usp=sharing"",""ตราด!J175"")"),0)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IFERROR(__xludf.DUMMYFUNCTION("IMPORTRANGE(""https://docs.google.com/spreadsheets/d/1SX6NBoVAgQJ6U1MVXOaj8PK2l7WJ3RER9xtqwdhxkhw/edit?usp=sharing"",""ตราด!J176"")"),0)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IFERROR(__xludf.DUMMYFUNCTION("IMPORTRANGE(""https://docs.google.com/spreadsheets/d/1SX6NBoVAgQJ6U1MVXOaj8PK2l7WJ3RER9xtqwdhxkhw/edit?usp=sharing"",""ตราด!J177"")"),0)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IFERROR(__xludf.DUMMYFUNCTION("IMPORTRANGE(""https://docs.google.com/spreadsheets/d/1SX6NBoVAgQJ6U1MVXOaj8PK2l7WJ3RER9xtqwdhxkhw/edit?usp=sharing"",""ตราด!J178"")"),0)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IFERROR(__xludf.DUMMYFUNCTION("IMPORTRANGE(""https://docs.google.com/spreadsheets/d/1SX6NBoVAgQJ6U1MVXOaj8PK2l7WJ3RER9xtqwdhxkhw/edit?usp=sharing"",""ตราด!I179"")"),0)</f>
        <v>0</v>
      </c>
      <c r="J264" s="189">
        <f ca="1">IFERROR(__xludf.DUMMYFUNCTION("IMPORTRANGE(""https://docs.google.com/spreadsheets/d/1SX6NBoVAgQJ6U1MVXOaj8PK2l7WJ3RER9xtqwdhxkhw/edit?usp=sharing"",""ตราด!J179"")"),0)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IFERROR(__xludf.DUMMYFUNCTION("IMPORTRANGE(""https://docs.google.com/spreadsheets/d/1SX6NBoVAgQJ6U1MVXOaj8PK2l7WJ3RER9xtqwdhxkhw/edit?usp=sharing"",""ตราด!I180"")"),0)</f>
        <v>0</v>
      </c>
      <c r="J265" s="189">
        <f ca="1">IFERROR(__xludf.DUMMYFUNCTION("IMPORTRANGE(""https://docs.google.com/spreadsheets/d/1SX6NBoVAgQJ6U1MVXOaj8PK2l7WJ3RER9xtqwdhxkhw/edit?usp=sharing"",""ตราด!J180"")"),0)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IFERROR(__xludf.DUMMYFUNCTION("IMPORTRANGE(""https://docs.google.com/spreadsheets/d/1SX6NBoVAgQJ6U1MVXOaj8PK2l7WJ3RER9xtqwdhxkhw/edit?usp=sharing"",""ตราด!I181"")"),0)</f>
        <v>0</v>
      </c>
      <c r="J266" s="189">
        <f ca="1">IFERROR(__xludf.DUMMYFUNCTION("IMPORTRANGE(""https://docs.google.com/spreadsheets/d/1SX6NBoVAgQJ6U1MVXOaj8PK2l7WJ3RER9xtqwdhxkhw/edit?usp=sharing"",""ตราด!J181"")"),0)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IFERROR(__xludf.DUMMYFUNCTION("IMPORTRANGE(""https://docs.google.com/spreadsheets/d/1SX6NBoVAgQJ6U1MVXOaj8PK2l7WJ3RER9xtqwdhxkhw/edit?usp=sharing"",""ตราด!I182"")"),0)</f>
        <v>0</v>
      </c>
      <c r="J267" s="189">
        <f ca="1">IFERROR(__xludf.DUMMYFUNCTION("IMPORTRANGE(""https://docs.google.com/spreadsheets/d/1SX6NBoVAgQJ6U1MVXOaj8PK2l7WJ3RER9xtqwdhxkhw/edit?usp=sharing"",""ตราด!J182"")"),0)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IFERROR(__xludf.DUMMYFUNCTION("IMPORTRANGE(""https://docs.google.com/spreadsheets/d/1SX6NBoVAgQJ6U1MVXOaj8PK2l7WJ3RER9xtqwdhxkhw/edit?usp=sharing"",""ตราด!J183"")"),0)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IFERROR(__xludf.DUMMYFUNCTION("IMPORTRANGE(""https://docs.google.com/spreadsheets/d/1SX6NBoVAgQJ6U1MVXOaj8PK2l7WJ3RER9xtqwdhxkhw/edit?usp=sharing"",""ตราด!J184"")"),0)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IFERROR(__xludf.DUMMYFUNCTION("IMPORTRANGE(""https://docs.google.com/spreadsheets/d/1SX6NBoVAgQJ6U1MVXOaj8PK2l7WJ3RER9xtqwdhxkhw/edit?usp=sharing"",""ตราด!I185"")"),0)</f>
        <v>0</v>
      </c>
      <c r="J270" s="317">
        <f ca="1">IFERROR(__xludf.DUMMYFUNCTION("IMPORTRANGE(""https://docs.google.com/spreadsheets/d/1SX6NBoVAgQJ6U1MVXOaj8PK2l7WJ3RER9xtqwdhxkhw/edit?usp=sharing"",""ตราด!J185"")"),0)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IFERROR(__xludf.DUMMYFUNCTION("IMPORTRANGE(""https://docs.google.com/spreadsheets/d/1Yj_ptqi66GCucihVvJfMjLAmec39IyEx_6qawtMGysU/edit?usp=sharing"",""สบก!CK64"")"),0)</f>
        <v>0</v>
      </c>
      <c r="N275" s="169">
        <f ca="1">IFERROR(__xludf.DUMMYFUNCTION("IMPORTRANGE(""https://docs.google.com/spreadsheets/d/1Yj_ptqi66GCucihVvJfMjLAmec39IyEx_6qawtMGysU/edit?usp=sharing"",""สบก!CL64"")"),0)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IFERROR(__xludf.DUMMYFUNCTION("IMPORTRANGE(""https://docs.google.com/spreadsheets/d/1Yj_ptqi66GCucihVvJfMjLAmec39IyEx_6qawtMGysU/edit?usp=sharing"",""สบก!CI64"")"),0)</f>
        <v>0</v>
      </c>
      <c r="M279" s="49"/>
      <c r="N279" s="49">
        <f ca="1">IFERROR(__xludf.DUMMYFUNCTION("IMPORTRANGE(""https://docs.google.com/spreadsheets/d/1Yj_ptqi66GCucihVvJfMjLAmec39IyEx_6qawtMGysU/edit?usp=sharing"",""สบก!CM64"")"),0)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IFERROR(__xludf.DUMMYFUNCTION("IMPORTRANGE(""https://docs.google.com/spreadsheets/d/1SX6NBoVAgQJ6U1MVXOaj8PK2l7WJ3RER9xtqwdhxkhw/edit?usp=sharing"",""ตราด!J191"")"),0)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IFERROR(__xludf.DUMMYFUNCTION("IMPORTRANGE(""https://docs.google.com/spreadsheets/d/1SX6NBoVAgQJ6U1MVXOaj8PK2l7WJ3RER9xtqwdhxkhw/edit?usp=sharing"",""ตราด!J192"")"),0)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IFERROR(__xludf.DUMMYFUNCTION("IMPORTRANGE(""https://docs.google.com/spreadsheets/d/1SX6NBoVAgQJ6U1MVXOaj8PK2l7WJ3RER9xtqwdhxkhw/edit?usp=sharing"",""ตราด!J193"")"),0)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IFERROR(__xludf.DUMMYFUNCTION("IMPORTRANGE(""https://docs.google.com/spreadsheets/d/1SX6NBoVAgQJ6U1MVXOaj8PK2l7WJ3RER9xtqwdhxkhw/edit?usp=sharing"",""ตราด!J194"")"),0)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IFERROR(__xludf.DUMMYFUNCTION("IMPORTRANGE(""https://docs.google.com/spreadsheets/d/1SX6NBoVAgQJ6U1MVXOaj8PK2l7WJ3RER9xtqwdhxkhw/edit?usp=sharing"",""ตราด!I195"")"),0)</f>
        <v>0</v>
      </c>
      <c r="J285" s="189">
        <f ca="1">IFERROR(__xludf.DUMMYFUNCTION("IMPORTRANGE(""https://docs.google.com/spreadsheets/d/1SX6NBoVAgQJ6U1MVXOaj8PK2l7WJ3RER9xtqwdhxkhw/edit?usp=sharing"",""ตราด!J195"")"),0)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IFERROR(__xludf.DUMMYFUNCTION("IMPORTRANGE(""https://docs.google.com/spreadsheets/d/1SX6NBoVAgQJ6U1MVXOaj8PK2l7WJ3RER9xtqwdhxkhw/edit?usp=sharing"",""ตราด!J196"")"),0)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IFERROR(__xludf.DUMMYFUNCTION("IMPORTRANGE(""https://docs.google.com/spreadsheets/d/1SX6NBoVAgQJ6U1MVXOaj8PK2l7WJ3RER9xtqwdhxkhw/edit?usp=sharing"",""ตราด!J197"")"),0)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IFERROR(__xludf.DUMMYFUNCTION("IMPORTRANGE(""https://docs.google.com/spreadsheets/d/1SX6NBoVAgQJ6U1MVXOaj8PK2l7WJ3RER9xtqwdhxkhw/edit?usp=sharing"",""ตราด!I199"")"),0)</f>
        <v>0</v>
      </c>
      <c r="J289" s="317">
        <f ca="1">IFERROR(__xludf.DUMMYFUNCTION("IMPORTRANGE(""https://docs.google.com/spreadsheets/d/1SX6NBoVAgQJ6U1MVXOaj8PK2l7WJ3RER9xtqwdhxkhw/edit?usp=sharing"",""ตราด!J199"")"),0)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IFERROR(__xludf.DUMMYFUNCTION("IMPORTRANGE(""https://docs.google.com/spreadsheets/d/1Yj_ptqi66GCucihVvJfMjLAmec39IyEx_6qawtMGysU/edit?usp=sharing"",""สบก!CT64"")"),0)</f>
        <v>0</v>
      </c>
      <c r="N294" s="169">
        <f ca="1">IFERROR(__xludf.DUMMYFUNCTION("IMPORTRANGE(""https://docs.google.com/spreadsheets/d/1Yj_ptqi66GCucihVvJfMjLAmec39IyEx_6qawtMGysU/edit?usp=sharing"",""สบก!CU64"")"),0)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IFERROR(__xludf.DUMMYFUNCTION("IMPORTRANGE(""https://docs.google.com/spreadsheets/d/1Yj_ptqi66GCucihVvJfMjLAmec39IyEx_6qawtMGysU/edit?usp=sharing"",""สบก!CR64"")"),0)</f>
        <v>0</v>
      </c>
      <c r="M298" s="49"/>
      <c r="N298" s="49">
        <f ca="1">IFERROR(__xludf.DUMMYFUNCTION("IMPORTRANGE(""https://docs.google.com/spreadsheets/d/1Yj_ptqi66GCucihVvJfMjLAmec39IyEx_6qawtMGysU/edit?usp=sharing"",""สบก!CV64"")"),0)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IFERROR(__xludf.DUMMYFUNCTION("IMPORTRANGE(""https://docs.google.com/spreadsheets/d/1SX6NBoVAgQJ6U1MVXOaj8PK2l7WJ3RER9xtqwdhxkhw/edit?usp=sharing"",""ตราด!J205"")"),0)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IFERROR(__xludf.DUMMYFUNCTION("IMPORTRANGE(""https://docs.google.com/spreadsheets/d/1SX6NBoVAgQJ6U1MVXOaj8PK2l7WJ3RER9xtqwdhxkhw/edit?usp=sharing"",""ตราด!J206"")"),0)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IFERROR(__xludf.DUMMYFUNCTION("IMPORTRANGE(""https://docs.google.com/spreadsheets/d/1SX6NBoVAgQJ6U1MVXOaj8PK2l7WJ3RER9xtqwdhxkhw/edit?usp=sharing"",""ตราด!J207"")"),0)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IFERROR(__xludf.DUMMYFUNCTION("IMPORTRANGE(""https://docs.google.com/spreadsheets/d/1SX6NBoVAgQJ6U1MVXOaj8PK2l7WJ3RER9xtqwdhxkhw/edit?usp=sharing"",""ตราด!J208"")"),0)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IFERROR(__xludf.DUMMYFUNCTION("IMPORTRANGE(""https://docs.google.com/spreadsheets/d/1SX6NBoVAgQJ6U1MVXOaj8PK2l7WJ3RER9xtqwdhxkhw/edit?usp=sharing"",""ตราด!I209"")"),0)</f>
        <v>0</v>
      </c>
      <c r="J304" s="204">
        <f ca="1">IFERROR(__xludf.DUMMYFUNCTION("IMPORTRANGE(""https://docs.google.com/spreadsheets/d/1SX6NBoVAgQJ6U1MVXOaj8PK2l7WJ3RER9xtqwdhxkhw/edit?usp=sharing"",""ตราด!J209"")"),0)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IFERROR(__xludf.DUMMYFUNCTION("IMPORTRANGE(""https://docs.google.com/spreadsheets/d/1SX6NBoVAgQJ6U1MVXOaj8PK2l7WJ3RER9xtqwdhxkhw/edit?usp=sharing"",""ตราด!I211"")"),0)</f>
        <v>0</v>
      </c>
      <c r="J306" s="204">
        <f ca="1">IFERROR(__xludf.DUMMYFUNCTION("IMPORTRANGE(""https://docs.google.com/spreadsheets/d/1SX6NBoVAgQJ6U1MVXOaj8PK2l7WJ3RER9xtqwdhxkhw/edit?usp=sharing"",""ตราด!J211"")"),0)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IFERROR(__xludf.DUMMYFUNCTION("IMPORTRANGE(""https://docs.google.com/spreadsheets/d/1SX6NBoVAgQJ6U1MVXOaj8PK2l7WJ3RER9xtqwdhxkhw/edit?usp=sharing"",""ตราด!J212"")"),0)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IFERROR(__xludf.DUMMYFUNCTION("IMPORTRANGE(""https://docs.google.com/spreadsheets/d/1SX6NBoVAgQJ6U1MVXOaj8PK2l7WJ3RER9xtqwdhxkhw/edit?usp=sharing"",""ตราด!J213"")"),0)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IFERROR(__xludf.DUMMYFUNCTION("IMPORTRANGE(""https://docs.google.com/spreadsheets/d/1SX6NBoVAgQJ6U1MVXOaj8PK2l7WJ3RER9xtqwdhxkhw/edit?usp=sharing"",""ตราด!I214"")"),0)</f>
        <v>0</v>
      </c>
      <c r="J309" s="334">
        <f ca="1">IFERROR(__xludf.DUMMYFUNCTION("IMPORTRANGE(""https://docs.google.com/spreadsheets/d/1SX6NBoVAgQJ6U1MVXOaj8PK2l7WJ3RER9xtqwdhxkhw/edit?usp=sharing"",""ตราด!J214"")"),0)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IFERROR(__xludf.DUMMYFUNCTION("IMPORTRANGE(""https://docs.google.com/spreadsheets/d/1Yj_ptqi66GCucihVvJfMjLAmec39IyEx_6qawtMGysU/edit?usp=sharing"",""สบก!DC64"")"),0)</f>
        <v>0</v>
      </c>
      <c r="N314" s="169">
        <f ca="1">IFERROR(__xludf.DUMMYFUNCTION("IMPORTRANGE(""https://docs.google.com/spreadsheets/d/1Yj_ptqi66GCucihVvJfMjLAmec39IyEx_6qawtMGysU/edit?usp=sharing"",""สบก!DD64"")"),0)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IFERROR(__xludf.DUMMYFUNCTION("IMPORTRANGE(""https://docs.google.com/spreadsheets/d/1Yj_ptqi66GCucihVvJfMjLAmec39IyEx_6qawtMGysU/edit?usp=sharing"",""สบก!DA64"")"),0)</f>
        <v>0</v>
      </c>
      <c r="M318" s="49"/>
      <c r="N318" s="49">
        <f ca="1">IFERROR(__xludf.DUMMYFUNCTION("IMPORTRANGE(""https://docs.google.com/spreadsheets/d/1Yj_ptqi66GCucihVvJfMjLAmec39IyEx_6qawtMGysU/edit?usp=sharing"",""สบก!DE64"")"),0)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IFERROR(__xludf.DUMMYFUNCTION("IMPORTRANGE(""https://docs.google.com/spreadsheets/d/1SX6NBoVAgQJ6U1MVXOaj8PK2l7WJ3RER9xtqwdhxkhw/edit?usp=sharing"",""ตราด!J220"")"),0)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IFERROR(__xludf.DUMMYFUNCTION("IMPORTRANGE(""https://docs.google.com/spreadsheets/d/1SX6NBoVAgQJ6U1MVXOaj8PK2l7WJ3RER9xtqwdhxkhw/edit?usp=sharing"",""ตราด!J221"")"),0)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IFERROR(__xludf.DUMMYFUNCTION("IMPORTRANGE(""https://docs.google.com/spreadsheets/d/1SX6NBoVAgQJ6U1MVXOaj8PK2l7WJ3RER9xtqwdhxkhw/edit?usp=sharing"",""ตราด!J222"")"),0)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IFERROR(__xludf.DUMMYFUNCTION("IMPORTRANGE(""https://docs.google.com/spreadsheets/d/1SX6NBoVAgQJ6U1MVXOaj8PK2l7WJ3RER9xtqwdhxkhw/edit?usp=sharing"",""ตราด!J223"")"),0)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IFERROR(__xludf.DUMMYFUNCTION("IMPORTRANGE(""https://docs.google.com/spreadsheets/d/1SX6NBoVAgQJ6U1MVXOaj8PK2l7WJ3RER9xtqwdhxkhw/edit?usp=sharing"",""ตราด!I224"")"),0)</f>
        <v>0</v>
      </c>
      <c r="J324" s="204">
        <f ca="1">IFERROR(__xludf.DUMMYFUNCTION("IMPORTRANGE(""https://docs.google.com/spreadsheets/d/1SX6NBoVAgQJ6U1MVXOaj8PK2l7WJ3RER9xtqwdhxkhw/edit?usp=sharing"",""ตราด!J224"")"),0)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IFERROR(__xludf.DUMMYFUNCTION("IMPORTRANGE(""https://docs.google.com/spreadsheets/d/1SX6NBoVAgQJ6U1MVXOaj8PK2l7WJ3RER9xtqwdhxkhw/edit?usp=sharing"",""ตราด!J225"")"),0)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IFERROR(__xludf.DUMMYFUNCTION("IMPORTRANGE(""https://docs.google.com/spreadsheets/d/1SX6NBoVAgQJ6U1MVXOaj8PK2l7WJ3RER9xtqwdhxkhw/edit?usp=sharing"",""ตราด!J226"")"),0)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IFERROR(__xludf.DUMMYFUNCTION("IMPORTRANGE(""https://docs.google.com/spreadsheets/d/1SX6NBoVAgQJ6U1MVXOaj8PK2l7WJ3RER9xtqwdhxkhw/edit?usp=sharing"",""ตราด!I228"")"),170)</f>
        <v>170</v>
      </c>
      <c r="J328" s="340">
        <f ca="1">IFERROR(__xludf.DUMMYFUNCTION("IMPORTRANGE(""https://docs.google.com/spreadsheets/d/1SX6NBoVAgQJ6U1MVXOaj8PK2l7WJ3RER9xtqwdhxkhw/edit?usp=sharing"",""ตราด!J228"")"),124)</f>
        <v>124</v>
      </c>
      <c r="K328" s="318">
        <f ca="1">IF(I328&gt;0,J328*100/I328,0)</f>
        <v>72.941176470588232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816030</v>
      </c>
      <c r="M329" s="152">
        <f t="shared" ca="1" si="98"/>
        <v>854530</v>
      </c>
      <c r="N329" s="152">
        <f t="shared" ca="1" si="98"/>
        <v>675489</v>
      </c>
      <c r="O329" s="151">
        <f t="shared" ref="O329:O331" ca="1" si="99">IF(L329&gt;0,N329*100/L329,0)</f>
        <v>82.777471416492034</v>
      </c>
      <c r="P329" s="151">
        <f t="shared" ref="P329:P331" ca="1" si="100">IF(M329&gt;0,N329*100/M329,0)</f>
        <v>79.048014698138161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816030</v>
      </c>
      <c r="M331" s="157">
        <f t="shared" ca="1" si="102"/>
        <v>854530</v>
      </c>
      <c r="N331" s="157">
        <f t="shared" ca="1" si="102"/>
        <v>675489</v>
      </c>
      <c r="O331" s="156">
        <f t="shared" ca="1" si="99"/>
        <v>82.777471416492034</v>
      </c>
      <c r="P331" s="156">
        <f t="shared" ca="1" si="100"/>
        <v>79.048014698138161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816030</v>
      </c>
      <c r="M333" s="168">
        <f ca="1">IFERROR(__xludf.DUMMYFUNCTION("IMPORTRANGE(""https://docs.google.com/spreadsheets/d/1Yj_ptqi66GCucihVvJfMjLAmec39IyEx_6qawtMGysU/edit?usp=sharing"",""สบก!DL64"")"),854530)</f>
        <v>854530</v>
      </c>
      <c r="N333" s="169">
        <f ca="1">IFERROR(__xludf.DUMMYFUNCTION("IMPORTRANGE(""https://docs.google.com/spreadsheets/d/1Yj_ptqi66GCucihVvJfMjLAmec39IyEx_6qawtMGysU/edit?usp=sharing"",""สบก!DM64"")"),675489)</f>
        <v>675489</v>
      </c>
      <c r="O333" s="169">
        <f ca="1">IF(L333&gt;0,N333*100/L333,0)</f>
        <v>82.777471416492034</v>
      </c>
      <c r="P333" s="169">
        <f ca="1">IF(M333&gt;0,N333*100/M333,0)</f>
        <v>79.048014698138161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IFERROR(__xludf.DUMMYFUNCTION("IMPORTRANGE(""https://docs.google.com/spreadsheets/d/1Yj_ptqi66GCucihVvJfMjLAmec39IyEx_6qawtMGysU/edit?usp=sharing"",""สบก!DH64"")"),493800)</f>
        <v>493800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IFERROR(__xludf.DUMMYFUNCTION("IMPORTRANGE(""https://docs.google.com/spreadsheets/d/1Yj_ptqi66GCucihVvJfMjLAmec39IyEx_6qawtMGysU/edit?usp=sharing"",""สบก!DI64"")"),322230)</f>
        <v>322230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IFERROR(__xludf.DUMMYFUNCTION("IMPORTRANGE(""https://docs.google.com/spreadsheets/d/1Yj_ptqi66GCucihVvJfMjLAmec39IyEx_6qawtMGysU/edit?usp=sharing"",""สบก!DJ64"")"),0)</f>
        <v>0</v>
      </c>
      <c r="M337" s="49"/>
      <c r="N337" s="49">
        <f ca="1">IFERROR(__xludf.DUMMYFUNCTION("IMPORTRANGE(""https://docs.google.com/spreadsheets/d/1Yj_ptqi66GCucihVvJfMjLAmec39IyEx_6qawtMGysU/edit?usp=sharing"",""สบก!DN64"")"),0)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IFERROR(__xludf.DUMMYFUNCTION("IMPORTRANGE(""https://docs.google.com/spreadsheets/d/1SX6NBoVAgQJ6U1MVXOaj8PK2l7WJ3RER9xtqwdhxkhw/edit?usp=sharing"",""ตราด!I234"")"),0)</f>
        <v>0</v>
      </c>
      <c r="J339" s="188">
        <f ca="1">IFERROR(__xludf.DUMMYFUNCTION("IMPORTRANGE(""https://docs.google.com/spreadsheets/d/1SX6NBoVAgQJ6U1MVXOaj8PK2l7WJ3RER9xtqwdhxkhw/edit?usp=sharing"",""ตราด!J234"")"),75)</f>
        <v>75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IFERROR(__xludf.DUMMYFUNCTION("IMPORTRANGE(""https://docs.google.com/spreadsheets/d/1SX6NBoVAgQJ6U1MVXOaj8PK2l7WJ3RER9xtqwdhxkhw/edit?usp=sharing"",""ตราด!I235"")"),1600)</f>
        <v>1600</v>
      </c>
      <c r="J340" s="188">
        <f ca="1">IFERROR(__xludf.DUMMYFUNCTION("IMPORTRANGE(""https://docs.google.com/spreadsheets/d/1SX6NBoVAgQJ6U1MVXOaj8PK2l7WJ3RER9xtqwdhxkhw/edit?usp=sharing"",""ตราด!J235"")"),673.47)</f>
        <v>673.47</v>
      </c>
      <c r="K340" s="343">
        <f t="shared" ca="1" si="103"/>
        <v>42.091875000000002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IFERROR(__xludf.DUMMYFUNCTION("IMPORTRANGE(""https://docs.google.com/spreadsheets/d/1SX6NBoVAgQJ6U1MVXOaj8PK2l7WJ3RER9xtqwdhxkhw/edit?usp=sharing"",""ตราด!I236"")"),170)</f>
        <v>170</v>
      </c>
      <c r="J341" s="188">
        <f ca="1">IFERROR(__xludf.DUMMYFUNCTION("IMPORTRANGE(""https://docs.google.com/spreadsheets/d/1SX6NBoVAgQJ6U1MVXOaj8PK2l7WJ3RER9xtqwdhxkhw/edit?usp=sharing"",""ตราด!J236"")"),145)</f>
        <v>145</v>
      </c>
      <c r="K341" s="343">
        <f t="shared" ca="1" si="103"/>
        <v>85.294117647058826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IFERROR(__xludf.DUMMYFUNCTION("IMPORTRANGE(""https://docs.google.com/spreadsheets/d/1SX6NBoVAgQJ6U1MVXOaj8PK2l7WJ3RER9xtqwdhxkhw/edit?usp=sharing"",""ตราด!I237"")"),0)</f>
        <v>0</v>
      </c>
      <c r="J342" s="188">
        <f ca="1">IFERROR(__xludf.DUMMYFUNCTION("IMPORTRANGE(""https://docs.google.com/spreadsheets/d/1SX6NBoVAgQJ6U1MVXOaj8PK2l7WJ3RER9xtqwdhxkhw/edit?usp=sharing"",""ตราด!J237"")"),2143.83999999999)</f>
        <v>2143.8399999999901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IFERROR(__xludf.DUMMYFUNCTION("IMPORTRANGE(""https://docs.google.com/spreadsheets/d/1SX6NBoVAgQJ6U1MVXOaj8PK2l7WJ3RER9xtqwdhxkhw/edit?usp=sharing"",""ตราด!I238"")"),170)</f>
        <v>170</v>
      </c>
      <c r="J343" s="188">
        <f ca="1">IFERROR(__xludf.DUMMYFUNCTION("IMPORTRANGE(""https://docs.google.com/spreadsheets/d/1SX6NBoVAgQJ6U1MVXOaj8PK2l7WJ3RER9xtqwdhxkhw/edit?usp=sharing"",""ตราด!J238"")"),0)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IFERROR(__xludf.DUMMYFUNCTION("IMPORTRANGE(""https://docs.google.com/spreadsheets/d/1SX6NBoVAgQJ6U1MVXOaj8PK2l7WJ3RER9xtqwdhxkhw/edit?usp=sharing"",""ตราด!I239"")"),0)</f>
        <v>0</v>
      </c>
      <c r="J344" s="188">
        <f ca="1">IFERROR(__xludf.DUMMYFUNCTION("IMPORTRANGE(""https://docs.google.com/spreadsheets/d/1SX6NBoVAgQJ6U1MVXOaj8PK2l7WJ3RER9xtqwdhxkhw/edit?usp=sharing"",""ตราด!J239"")"),0)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IFERROR(__xludf.DUMMYFUNCTION("IMPORTRANGE(""https://docs.google.com/spreadsheets/d/1SX6NBoVAgQJ6U1MVXOaj8PK2l7WJ3RER9xtqwdhxkhw/edit?usp=sharing"",""ตราด!I240"")"),170)</f>
        <v>170</v>
      </c>
      <c r="J345" s="188">
        <f ca="1">IFERROR(__xludf.DUMMYFUNCTION("IMPORTRANGE(""https://docs.google.com/spreadsheets/d/1SX6NBoVAgQJ6U1MVXOaj8PK2l7WJ3RER9xtqwdhxkhw/edit?usp=sharing"",""ตราด!J240"")"),124)</f>
        <v>124</v>
      </c>
      <c r="K345" s="343">
        <f t="shared" ca="1" si="103"/>
        <v>72.941176470588232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IFERROR(__xludf.DUMMYFUNCTION("IMPORTRANGE(""https://docs.google.com/spreadsheets/d/1SX6NBoVAgQJ6U1MVXOaj8PK2l7WJ3RER9xtqwdhxkhw/edit?usp=sharing"",""ตราด!I241"")"),0)</f>
        <v>0</v>
      </c>
      <c r="J346" s="188">
        <f ca="1">IFERROR(__xludf.DUMMYFUNCTION("IMPORTRANGE(""https://docs.google.com/spreadsheets/d/1SX6NBoVAgQJ6U1MVXOaj8PK2l7WJ3RER9xtqwdhxkhw/edit?usp=sharing"",""ตราด!J241"")"),1935.03)</f>
        <v>1935.03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IFERROR(__xludf.DUMMYFUNCTION("IMPORTRANGE(""https://docs.google.com/spreadsheets/d/1SX6NBoVAgQJ6U1MVXOaj8PK2l7WJ3RER9xtqwdhxkhw/edit?usp=sharing"",""ตราด!L242"")"),628342)</f>
        <v>628342</v>
      </c>
      <c r="M347" s="358"/>
      <c r="N347" s="358">
        <f ca="1">IFERROR(__xludf.DUMMYFUNCTION("IMPORTRANGE(""https://docs.google.com/spreadsheets/d/1SX6NBoVAgQJ6U1MVXOaj8PK2l7WJ3RER9xtqwdhxkhw/edit?usp=sharing"",""ตราด!M242"")"),476662)</f>
        <v>476662</v>
      </c>
      <c r="O347" s="358">
        <f ca="1">+IF(L347&gt;0,N347*100/L347,0)</f>
        <v>75.860279911258516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IFERROR(__xludf.DUMMYFUNCTION("IMPORTRANGE(""https://docs.google.com/spreadsheets/d/1SX6NBoVAgQJ6U1MVXOaj8PK2l7WJ3RER9xtqwdhxkhw/edit?usp=sharing"",""ตราด!I244"")"),0)</f>
        <v>0</v>
      </c>
      <c r="J349" s="371">
        <f ca="1">IFERROR(__xludf.DUMMYFUNCTION("IMPORTRANGE(""https://docs.google.com/spreadsheets/d/1SX6NBoVAgQJ6U1MVXOaj8PK2l7WJ3RER9xtqwdhxkhw/edit?usp=sharing"",""ตราด!J244"")"),0)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IFERROR(__xludf.DUMMYFUNCTION("IMPORTRANGE(""https://docs.google.com/spreadsheets/d/1SX6NBoVAgQJ6U1MVXOaj8PK2l7WJ3RER9xtqwdhxkhw/edit?usp=sharing"",""ตราด!L244"")"),0)</f>
        <v>0</v>
      </c>
      <c r="M349" s="373"/>
      <c r="N349" s="373">
        <f ca="1">IFERROR(__xludf.DUMMYFUNCTION("IMPORTRANGE(""https://docs.google.com/spreadsheets/d/1SX6NBoVAgQJ6U1MVXOaj8PK2l7WJ3RER9xtqwdhxkhw/edit?usp=sharing"",""ตราด!M244"")"),0)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IFERROR(__xludf.DUMMYFUNCTION("IMPORTRANGE(""https://docs.google.com/spreadsheets/d/1SX6NBoVAgQJ6U1MVXOaj8PK2l7WJ3RER9xtqwdhxkhw/edit?usp=sharing"",""ตราด!I245"")"),0)</f>
        <v>0</v>
      </c>
      <c r="J350" s="371">
        <f ca="1">IFERROR(__xludf.DUMMYFUNCTION("IMPORTRANGE(""https://docs.google.com/spreadsheets/d/1SX6NBoVAgQJ6U1MVXOaj8PK2l7WJ3RER9xtqwdhxkhw/edit?usp=sharing"",""ตราด!J245"")"),0)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IFERROR(__xludf.DUMMYFUNCTION("IMPORTRANGE(""https://docs.google.com/spreadsheets/d/1SX6NBoVAgQJ6U1MVXOaj8PK2l7WJ3RER9xtqwdhxkhw/edit?usp=sharing"",""ตราด!L246"")"),0)</f>
        <v>0</v>
      </c>
      <c r="M351" s="164"/>
      <c r="N351" s="164">
        <f ca="1">IFERROR(__xludf.DUMMYFUNCTION("IMPORTRANGE(""https://docs.google.com/spreadsheets/d/1SX6NBoVAgQJ6U1MVXOaj8PK2l7WJ3RER9xtqwdhxkhw/edit?usp=sharing"",""ตราด!M246"")"),0)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IFERROR(__xludf.DUMMYFUNCTION("IMPORTRANGE(""https://docs.google.com/spreadsheets/d/1SX6NBoVAgQJ6U1MVXOaj8PK2l7WJ3RER9xtqwdhxkhw/edit?usp=sharing"",""ตราด!L247"")"),0)</f>
        <v>0</v>
      </c>
      <c r="M352" s="165"/>
      <c r="N352" s="164">
        <f ca="1">IFERROR(__xludf.DUMMYFUNCTION("IMPORTRANGE(""https://docs.google.com/spreadsheets/d/1SX6NBoVAgQJ6U1MVXOaj8PK2l7WJ3RER9xtqwdhxkhw/edit?usp=sharing"",""ตราด!M247"")"),0)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IFERROR(__xludf.DUMMYFUNCTION("IMPORTRANGE(""https://docs.google.com/spreadsheets/d/1SX6NBoVAgQJ6U1MVXOaj8PK2l7WJ3RER9xtqwdhxkhw/edit?usp=sharing"",""ตราด!L248"")"),0)</f>
        <v>0</v>
      </c>
      <c r="M353" s="169"/>
      <c r="N353" s="169">
        <f ca="1">IFERROR(__xludf.DUMMYFUNCTION("IMPORTRANGE(""https://docs.google.com/spreadsheets/d/1SX6NBoVAgQJ6U1MVXOaj8PK2l7WJ3RER9xtqwdhxkhw/edit?usp=sharing"",""ตราด!M248"")"),0)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IFERROR(__xludf.DUMMYFUNCTION("IMPORTRANGE(""https://docs.google.com/spreadsheets/d/1SX6NBoVAgQJ6U1MVXOaj8PK2l7WJ3RER9xtqwdhxkhw/edit?usp=sharing"",""ตราด!L249"")"),0)</f>
        <v>0</v>
      </c>
      <c r="M354" s="169"/>
      <c r="N354" s="168">
        <f ca="1">IFERROR(__xludf.DUMMYFUNCTION("IMPORTRANGE(""https://docs.google.com/spreadsheets/d/1SX6NBoVAgQJ6U1MVXOaj8PK2l7WJ3RER9xtqwdhxkhw/edit?usp=sharing"",""ตราด!M249"")"),0)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IFERROR(__xludf.DUMMYFUNCTION("IMPORTRANGE(""https://docs.google.com/spreadsheets/d/1SX6NBoVAgQJ6U1MVXOaj8PK2l7WJ3RER9xtqwdhxkhw/edit?usp=sharing"",""ตราด!M250"")"),0)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IFERROR(__xludf.DUMMYFUNCTION("IMPORTRANGE(""https://docs.google.com/spreadsheets/d/1SX6NBoVAgQJ6U1MVXOaj8PK2l7WJ3RER9xtqwdhxkhw/edit?usp=sharing"",""ตราด!M251"")"),0)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IFERROR(__xludf.DUMMYFUNCTION("IMPORTRANGE(""https://docs.google.com/spreadsheets/d/1SX6NBoVAgQJ6U1MVXOaj8PK2l7WJ3RER9xtqwdhxkhw/edit?usp=sharing"",""ตราด!M252"")"),0)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IFERROR(__xludf.DUMMYFUNCTION("IMPORTRANGE(""https://docs.google.com/spreadsheets/d/1SX6NBoVAgQJ6U1MVXOaj8PK2l7WJ3RER9xtqwdhxkhw/edit?usp=sharing"",""ตราด!M253"")"),0)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IFERROR(__xludf.DUMMYFUNCTION("IMPORTRANGE(""https://docs.google.com/spreadsheets/d/1SX6NBoVAgQJ6U1MVXOaj8PK2l7WJ3RER9xtqwdhxkhw/edit?usp=sharing"",""ตราด!J255"")"),0)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IFERROR(__xludf.DUMMYFUNCTION("IMPORTRANGE(""https://docs.google.com/spreadsheets/d/1SX6NBoVAgQJ6U1MVXOaj8PK2l7WJ3RER9xtqwdhxkhw/edit?usp=sharing"",""ตราด!J256"")"),0)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IFERROR(__xludf.DUMMYFUNCTION("IMPORTRANGE(""https://docs.google.com/spreadsheets/d/1SX6NBoVAgQJ6U1MVXOaj8PK2l7WJ3RER9xtqwdhxkhw/edit?usp=sharing"",""ตราด!J257"")"),0)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IFERROR(__xludf.DUMMYFUNCTION("IMPORTRANGE(""https://docs.google.com/spreadsheets/d/1SX6NBoVAgQJ6U1MVXOaj8PK2l7WJ3RER9xtqwdhxkhw/edit?usp=sharing"",""ตราด!J258"")"),0)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IFERROR(__xludf.DUMMYFUNCTION("IMPORTRANGE(""https://docs.google.com/spreadsheets/d/1SX6NBoVAgQJ6U1MVXOaj8PK2l7WJ3RER9xtqwdhxkhw/edit?usp=sharing"",""ตราด!J166"")"),0)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IFERROR(__xludf.DUMMYFUNCTION("IMPORTRANGE(""https://docs.google.com/spreadsheets/d/1SX6NBoVAgQJ6U1MVXOaj8PK2l7WJ3RER9xtqwdhxkhw/edit?usp=sharing"",""ตราด!J166"")"),0)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IFERROR(__xludf.DUMMYFUNCTION("IMPORTRANGE(""https://docs.google.com/spreadsheets/d/1SX6NBoVAgQJ6U1MVXOaj8PK2l7WJ3RER9xtqwdhxkhw/edit?usp=sharing"",""ตราด!J166"")"),0)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IFERROR(__xludf.DUMMYFUNCTION("IMPORTRANGE(""https://docs.google.com/spreadsheets/d/1SX6NBoVAgQJ6U1MVXOaj8PK2l7WJ3RER9xtqwdhxkhw/edit?usp=sharing"",""ตราด!J166"")"),0)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IFERROR(__xludf.DUMMYFUNCTION("IMPORTRANGE(""https://docs.google.com/spreadsheets/d/1SX6NBoVAgQJ6U1MVXOaj8PK2l7WJ3RER9xtqwdhxkhw/edit?usp=sharing"",""ตราด!I263"")"),0)</f>
        <v>0</v>
      </c>
      <c r="J368" s="188">
        <f ca="1">IFERROR(__xludf.DUMMYFUNCTION("IMPORTRANGE(""https://docs.google.com/spreadsheets/d/1SX6NBoVAgQJ6U1MVXOaj8PK2l7WJ3RER9xtqwdhxkhw/edit?usp=sharing"",""ตราด!J263"")"),0)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IFERROR(__xludf.DUMMYFUNCTION("IMPORTRANGE(""https://docs.google.com/spreadsheets/d/1SX6NBoVAgQJ6U1MVXOaj8PK2l7WJ3RER9xtqwdhxkhw/edit?usp=sharing"",""ตราด!I164"")"),0)</f>
        <v>0</v>
      </c>
      <c r="J369" s="204">
        <f ca="1">IFERROR(__xludf.DUMMYFUNCTION("IMPORTRANGE(""https://docs.google.com/spreadsheets/d/1SX6NBoVAgQJ6U1MVXOaj8PK2l7WJ3RER9xtqwdhxkhw/edit?usp=sharing"",""ตราด!J164"")"),0)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IFERROR(__xludf.DUMMYFUNCTION("IMPORTRANGE(""https://docs.google.com/spreadsheets/d/1SX6NBoVAgQJ6U1MVXOaj8PK2l7WJ3RER9xtqwdhxkhw/edit?usp=sharing"",""ตราด!I265"")"),0)</f>
        <v>0</v>
      </c>
      <c r="J370" s="204">
        <f ca="1">IFERROR(__xludf.DUMMYFUNCTION("IMPORTRANGE(""https://docs.google.com/spreadsheets/d/1SX6NBoVAgQJ6U1MVXOaj8PK2l7WJ3RER9xtqwdhxkhw/edit?usp=sharing"",""ตราด!J265"")"),0)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IFERROR(__xludf.DUMMYFUNCTION("IMPORTRANGE(""https://docs.google.com/spreadsheets/d/1SX6NBoVAgQJ6U1MVXOaj8PK2l7WJ3RER9xtqwdhxkhw/edit?usp=sharing"",""ตราด!I164"")"),0)</f>
        <v>0</v>
      </c>
      <c r="J371" s="189">
        <f ca="1">IFERROR(__xludf.DUMMYFUNCTION("IMPORTRANGE(""https://docs.google.com/spreadsheets/d/1SX6NBoVAgQJ6U1MVXOaj8PK2l7WJ3RER9xtqwdhxkhw/edit?usp=sharing"",""ตราด!J164"")"),0)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IFERROR(__xludf.DUMMYFUNCTION("IMPORTRANGE(""https://docs.google.com/spreadsheets/d/1SX6NBoVAgQJ6U1MVXOaj8PK2l7WJ3RER9xtqwdhxkhw/edit?usp=sharing"",""ตราด!I267"")"),0)</f>
        <v>0</v>
      </c>
      <c r="J372" s="189">
        <f ca="1">IFERROR(__xludf.DUMMYFUNCTION("IMPORTRANGE(""https://docs.google.com/spreadsheets/d/1SX6NBoVAgQJ6U1MVXOaj8PK2l7WJ3RER9xtqwdhxkhw/edit?usp=sharing"",""ตราด!J267"")"),0)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IFERROR(__xludf.DUMMYFUNCTION("IMPORTRANGE(""https://docs.google.com/spreadsheets/d/1SX6NBoVAgQJ6U1MVXOaj8PK2l7WJ3RER9xtqwdhxkhw/edit?usp=sharing"",""ตราด!I164"")"),0)</f>
        <v>0</v>
      </c>
      <c r="J373" s="204">
        <f ca="1">IFERROR(__xludf.DUMMYFUNCTION("IMPORTRANGE(""https://docs.google.com/spreadsheets/d/1SX6NBoVAgQJ6U1MVXOaj8PK2l7WJ3RER9xtqwdhxkhw/edit?usp=sharing"",""ตราด!J164"")"),0)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IFERROR(__xludf.DUMMYFUNCTION("IMPORTRANGE(""https://docs.google.com/spreadsheets/d/1SX6NBoVAgQJ6U1MVXOaj8PK2l7WJ3RER9xtqwdhxkhw/edit?usp=sharing"",""ตราด!I164"")"),0)</f>
        <v>0</v>
      </c>
      <c r="J374" s="188">
        <f ca="1">IFERROR(__xludf.DUMMYFUNCTION("IMPORTRANGE(""https://docs.google.com/spreadsheets/d/1SX6NBoVAgQJ6U1MVXOaj8PK2l7WJ3RER9xtqwdhxkhw/edit?usp=sharing"",""ตราด!J164"")"),0)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IFERROR(__xludf.DUMMYFUNCTION("IMPORTRANGE(""https://docs.google.com/spreadsheets/d/1SX6NBoVAgQJ6U1MVXOaj8PK2l7WJ3RER9xtqwdhxkhw/edit?usp=sharing"",""ตราด!I270"")"),0)</f>
        <v>0</v>
      </c>
      <c r="J375" s="188">
        <f ca="1">IFERROR(__xludf.DUMMYFUNCTION("IMPORTRANGE(""https://docs.google.com/spreadsheets/d/1SX6NBoVAgQJ6U1MVXOaj8PK2l7WJ3RER9xtqwdhxkhw/edit?usp=sharing"",""ตราด!J270"")"),0)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IFERROR(__xludf.DUMMYFUNCTION("IMPORTRANGE(""https://docs.google.com/spreadsheets/d/1SX6NBoVAgQJ6U1MVXOaj8PK2l7WJ3RER9xtqwdhxkhw/edit?usp=sharing"",""ตราด!I271"")"),0)</f>
        <v>0</v>
      </c>
      <c r="J376" s="189">
        <f ca="1">IFERROR(__xludf.DUMMYFUNCTION("IMPORTRANGE(""https://docs.google.com/spreadsheets/d/1SX6NBoVAgQJ6U1MVXOaj8PK2l7WJ3RER9xtqwdhxkhw/edit?usp=sharing"",""ตราด!J271"")"),0)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IFERROR(__xludf.DUMMYFUNCTION("IMPORTRANGE(""https://docs.google.com/spreadsheets/d/1SX6NBoVAgQJ6U1MVXOaj8PK2l7WJ3RER9xtqwdhxkhw/edit?usp=sharing"",""ตราด!I272"")"),0)</f>
        <v>0</v>
      </c>
      <c r="J377" s="204">
        <f ca="1">IFERROR(__xludf.DUMMYFUNCTION("IMPORTRANGE(""https://docs.google.com/spreadsheets/d/1SX6NBoVAgQJ6U1MVXOaj8PK2l7WJ3RER9xtqwdhxkhw/edit?usp=sharing"",""ตราด!J272"")"),0)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IFERROR(__xludf.DUMMYFUNCTION("IMPORTRANGE(""https://docs.google.com/spreadsheets/d/1SX6NBoVAgQJ6U1MVXOaj8PK2l7WJ3RER9xtqwdhxkhw/edit?usp=sharing"",""ตราด!J273"")"),0)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IFERROR(__xludf.DUMMYFUNCTION("IMPORTRANGE(""https://docs.google.com/spreadsheets/d/1SX6NBoVAgQJ6U1MVXOaj8PK2l7WJ3RER9xtqwdhxkhw/edit?usp=sharing"",""ตราด!J274"")"),0)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IFERROR(__xludf.DUMMYFUNCTION("IMPORTRANGE(""https://docs.google.com/spreadsheets/d/1SX6NBoVAgQJ6U1MVXOaj8PK2l7WJ3RER9xtqwdhxkhw/edit?usp=sharing"",""ตราด!I275"")"),200)</f>
        <v>200</v>
      </c>
      <c r="J380" s="371">
        <f ca="1">IFERROR(__xludf.DUMMYFUNCTION("IMPORTRANGE(""https://docs.google.com/spreadsheets/d/1SX6NBoVAgQJ6U1MVXOaj8PK2l7WJ3RER9xtqwdhxkhw/edit?usp=sharing"",""ตราด!J275"")"),200)</f>
        <v>200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IFERROR(__xludf.DUMMYFUNCTION("IMPORTRANGE(""https://docs.google.com/spreadsheets/d/1SX6NBoVAgQJ6U1MVXOaj8PK2l7WJ3RER9xtqwdhxkhw/edit?usp=sharing"",""ตราด!L275"")"),207560)</f>
        <v>207560</v>
      </c>
      <c r="M380" s="373"/>
      <c r="N380" s="373">
        <f ca="1">IFERROR(__xludf.DUMMYFUNCTION("IMPORTRANGE(""https://docs.google.com/spreadsheets/d/1SX6NBoVAgQJ6U1MVXOaj8PK2l7WJ3RER9xtqwdhxkhw/edit?usp=sharing"",""ตราด!M275"")"),195469)</f>
        <v>195469</v>
      </c>
      <c r="O380" s="373">
        <f ca="1">+IF(L380&gt;0,N380*100/L380,0)</f>
        <v>94.174696473308927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IFERROR(__xludf.DUMMYFUNCTION("IMPORTRANGE(""https://docs.google.com/spreadsheets/d/1SX6NBoVAgQJ6U1MVXOaj8PK2l7WJ3RER9xtqwdhxkhw/edit?usp=sharing"",""ตราด!I276"")"),20)</f>
        <v>20</v>
      </c>
      <c r="J381" s="371">
        <f ca="1">IFERROR(__xludf.DUMMYFUNCTION("IMPORTRANGE(""https://docs.google.com/spreadsheets/d/1SX6NBoVAgQJ6U1MVXOaj8PK2l7WJ3RER9xtqwdhxkhw/edit?usp=sharing"",""ตราด!J276"")"),20)</f>
        <v>20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IFERROR(__xludf.DUMMYFUNCTION("IMPORTRANGE(""https://docs.google.com/spreadsheets/d/1SX6NBoVAgQJ6U1MVXOaj8PK2l7WJ3RER9xtqwdhxkhw/edit?usp=sharing"",""ตราด!L277"")"),0)</f>
        <v>0</v>
      </c>
      <c r="M382" s="164"/>
      <c r="N382" s="164">
        <f ca="1">IFERROR(__xludf.DUMMYFUNCTION("IMPORTRANGE(""https://docs.google.com/spreadsheets/d/1SX6NBoVAgQJ6U1MVXOaj8PK2l7WJ3RER9xtqwdhxkhw/edit?usp=sharing"",""ตราด!M277"")"),0)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IFERROR(__xludf.DUMMYFUNCTION("IMPORTRANGE(""https://docs.google.com/spreadsheets/d/1SX6NBoVAgQJ6U1MVXOaj8PK2l7WJ3RER9xtqwdhxkhw/edit?usp=sharing"",""ตราด!L278"")"),207560)</f>
        <v>207560</v>
      </c>
      <c r="M383" s="165"/>
      <c r="N383" s="165">
        <f ca="1">IFERROR(__xludf.DUMMYFUNCTION("IMPORTRANGE(""https://docs.google.com/spreadsheets/d/1SX6NBoVAgQJ6U1MVXOaj8PK2l7WJ3RER9xtqwdhxkhw/edit?usp=sharing"",""ตราด!M278"")"),195469)</f>
        <v>195469</v>
      </c>
      <c r="O383" s="165">
        <f t="shared" ca="1" si="109"/>
        <v>94.174696473308927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IFERROR(__xludf.DUMMYFUNCTION("IMPORTRANGE(""https://docs.google.com/spreadsheets/d/1SX6NBoVAgQJ6U1MVXOaj8PK2l7WJ3RER9xtqwdhxkhw/edit?usp=sharing"",""ตราด!L279"")"),0)</f>
        <v>0</v>
      </c>
      <c r="M384" s="169"/>
      <c r="N384" s="169">
        <f ca="1">IFERROR(__xludf.DUMMYFUNCTION("IMPORTRANGE(""https://docs.google.com/spreadsheets/d/1SX6NBoVAgQJ6U1MVXOaj8PK2l7WJ3RER9xtqwdhxkhw/edit?usp=sharing"",""ตราด!M279"")"),0)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IFERROR(__xludf.DUMMYFUNCTION("IMPORTRANGE(""https://docs.google.com/spreadsheets/d/1SX6NBoVAgQJ6U1MVXOaj8PK2l7WJ3RER9xtqwdhxkhw/edit?usp=sharing"",""ตราด!L280"")"),207560)</f>
        <v>207560</v>
      </c>
      <c r="M385" s="169"/>
      <c r="N385" s="168">
        <f ca="1">IFERROR(__xludf.DUMMYFUNCTION("IMPORTRANGE(""https://docs.google.com/spreadsheets/d/1SX6NBoVAgQJ6U1MVXOaj8PK2l7WJ3RER9xtqwdhxkhw/edit?usp=sharing"",""ตราด!M280"")"),195469)</f>
        <v>195469</v>
      </c>
      <c r="O385" s="169">
        <f t="shared" ca="1" si="109"/>
        <v>94.174696473308927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IFERROR(__xludf.DUMMYFUNCTION("IMPORTRANGE(""https://docs.google.com/spreadsheets/d/1SX6NBoVAgQJ6U1MVXOaj8PK2l7WJ3RER9xtqwdhxkhw/edit?usp=sharing"",""ตราด!M281"")"),58800)</f>
        <v>58800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IFERROR(__xludf.DUMMYFUNCTION("IMPORTRANGE(""https://docs.google.com/spreadsheets/d/1SX6NBoVAgQJ6U1MVXOaj8PK2l7WJ3RER9xtqwdhxkhw/edit?usp=sharing"",""ตราด!M282"")"),125000)</f>
        <v>125000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IFERROR(__xludf.DUMMYFUNCTION("IMPORTRANGE(""https://docs.google.com/spreadsheets/d/1SX6NBoVAgQJ6U1MVXOaj8PK2l7WJ3RER9xtqwdhxkhw/edit?usp=sharing"",""ตราด!M283"")"),0)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IFERROR(__xludf.DUMMYFUNCTION("IMPORTRANGE(""https://docs.google.com/spreadsheets/d/1SX6NBoVAgQJ6U1MVXOaj8PK2l7WJ3RER9xtqwdhxkhw/edit?usp=sharing"",""ตราด!M284"")"),11669)</f>
        <v>11669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IFERROR(__xludf.DUMMYFUNCTION("IMPORTRANGE(""https://docs.google.com/spreadsheets/d/1SX6NBoVAgQJ6U1MVXOaj8PK2l7WJ3RER9xtqwdhxkhw/edit?usp=sharing"",""ตราด!J286"")"),0)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IFERROR(__xludf.DUMMYFUNCTION("IMPORTRANGE(""https://docs.google.com/spreadsheets/d/1SX6NBoVAgQJ6U1MVXOaj8PK2l7WJ3RER9xtqwdhxkhw/edit?usp=sharing"",""ตราด!J287"")"),1)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IFERROR(__xludf.DUMMYFUNCTION("IMPORTRANGE(""https://docs.google.com/spreadsheets/d/1SX6NBoVAgQJ6U1MVXOaj8PK2l7WJ3RER9xtqwdhxkhw/edit?usp=sharing"",""ตราด!J288"")"),1)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IFERROR(__xludf.DUMMYFUNCTION("IMPORTRANGE(""https://docs.google.com/spreadsheets/d/1SX6NBoVAgQJ6U1MVXOaj8PK2l7WJ3RER9xtqwdhxkhw/edit?usp=sharing"",""ตราด!J289"")"),1)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IFERROR(__xludf.DUMMYFUNCTION("IMPORTRANGE(""https://docs.google.com/spreadsheets/d/1SX6NBoVAgQJ6U1MVXOaj8PK2l7WJ3RER9xtqwdhxkhw/edit?usp=sharing"",""ตราด!I291"")"),20)</f>
        <v>20</v>
      </c>
      <c r="J396" s="198">
        <f ca="1">IFERROR(__xludf.DUMMYFUNCTION("IMPORTRANGE(""https://docs.google.com/spreadsheets/d/1SX6NBoVAgQJ6U1MVXOaj8PK2l7WJ3RER9xtqwdhxkhw/edit?usp=sharing"",""ตราด!J291"")"),20)</f>
        <v>20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IFERROR(__xludf.DUMMYFUNCTION("IMPORTRANGE(""https://docs.google.com/spreadsheets/d/1SX6NBoVAgQJ6U1MVXOaj8PK2l7WJ3RER9xtqwdhxkhw/edit?usp=sharing"",""ตราด!I292"")"),200)</f>
        <v>200</v>
      </c>
      <c r="J397" s="198">
        <f ca="1">IFERROR(__xludf.DUMMYFUNCTION("IMPORTRANGE(""https://docs.google.com/spreadsheets/d/1SX6NBoVAgQJ6U1MVXOaj8PK2l7WJ3RER9xtqwdhxkhw/edit?usp=sharing"",""ตราด!J292"")"),200)</f>
        <v>200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IFERROR(__xludf.DUMMYFUNCTION("IMPORTRANGE(""https://docs.google.com/spreadsheets/d/1SX6NBoVAgQJ6U1MVXOaj8PK2l7WJ3RER9xtqwdhxkhw/edit?usp=sharing"",""ตราด!I293"")"),20)</f>
        <v>20</v>
      </c>
      <c r="J398" s="198">
        <f ca="1">IFERROR(__xludf.DUMMYFUNCTION("IMPORTRANGE(""https://docs.google.com/spreadsheets/d/1SX6NBoVAgQJ6U1MVXOaj8PK2l7WJ3RER9xtqwdhxkhw/edit?usp=sharing"",""ตราด!J293"")"),20)</f>
        <v>20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IFERROR(__xludf.DUMMYFUNCTION("IMPORTRANGE(""https://docs.google.com/spreadsheets/d/1SX6NBoVAgQJ6U1MVXOaj8PK2l7WJ3RER9xtqwdhxkhw/edit?usp=sharing"",""ตราด!J294"")"),0)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IFERROR(__xludf.DUMMYFUNCTION("IMPORTRANGE(""https://docs.google.com/spreadsheets/d/1SX6NBoVAgQJ6U1MVXOaj8PK2l7WJ3RER9xtqwdhxkhw/edit?usp=sharing"",""ตราด!J295"")"),0)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IFERROR(__xludf.DUMMYFUNCTION("IMPORTRANGE(""https://docs.google.com/spreadsheets/d/1SX6NBoVAgQJ6U1MVXOaj8PK2l7WJ3RER9xtqwdhxkhw/edit?usp=sharing"",""ตราด!I296"")"),90)</f>
        <v>90</v>
      </c>
      <c r="J401" s="371">
        <f ca="1">IFERROR(__xludf.DUMMYFUNCTION("IMPORTRANGE(""https://docs.google.com/spreadsheets/d/1SX6NBoVAgQJ6U1MVXOaj8PK2l7WJ3RER9xtqwdhxkhw/edit?usp=sharing"",""ตราด!J296"")"),90)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IFERROR(__xludf.DUMMYFUNCTION("IMPORTRANGE(""https://docs.google.com/spreadsheets/d/1SX6NBoVAgQJ6U1MVXOaj8PK2l7WJ3RER9xtqwdhxkhw/edit?usp=sharing"",""ตราด!L296"")"),116320)</f>
        <v>116320</v>
      </c>
      <c r="M401" s="373"/>
      <c r="N401" s="373">
        <f ca="1">IFERROR(__xludf.DUMMYFUNCTION("IMPORTRANGE(""https://docs.google.com/spreadsheets/d/1SX6NBoVAgQJ6U1MVXOaj8PK2l7WJ3RER9xtqwdhxkhw/edit?usp=sharing"",""ตราด!M296"")"),97565)</f>
        <v>97565</v>
      </c>
      <c r="O401" s="373">
        <f ca="1">+IF(L401&gt;0,N401*100/L401,0)</f>
        <v>83.876375515818438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IFERROR(__xludf.DUMMYFUNCTION("IMPORTRANGE(""https://docs.google.com/spreadsheets/d/1SX6NBoVAgQJ6U1MVXOaj8PK2l7WJ3RER9xtqwdhxkhw/edit?usp=sharing"",""ตราด!I297"")"),30)</f>
        <v>30</v>
      </c>
      <c r="J402" s="371">
        <f ca="1">IFERROR(__xludf.DUMMYFUNCTION("IMPORTRANGE(""https://docs.google.com/spreadsheets/d/1SX6NBoVAgQJ6U1MVXOaj8PK2l7WJ3RER9xtqwdhxkhw/edit?usp=sharing"",""ตราด!J297"")"),30)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IFERROR(__xludf.DUMMYFUNCTION("IMPORTRANGE(""https://docs.google.com/spreadsheets/d/1SX6NBoVAgQJ6U1MVXOaj8PK2l7WJ3RER9xtqwdhxkhw/edit?usp=sharing"",""ตราด!L298"")"),0)</f>
        <v>0</v>
      </c>
      <c r="M403" s="164"/>
      <c r="N403" s="169">
        <f ca="1">IFERROR(__xludf.DUMMYFUNCTION("IMPORTRANGE(""https://docs.google.com/spreadsheets/d/1SX6NBoVAgQJ6U1MVXOaj8PK2l7WJ3RER9xtqwdhxkhw/edit?usp=sharing"",""ตราด!M298"")"),0)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IFERROR(__xludf.DUMMYFUNCTION("IMPORTRANGE(""https://docs.google.com/spreadsheets/d/1SX6NBoVAgQJ6U1MVXOaj8PK2l7WJ3RER9xtqwdhxkhw/edit?usp=sharing"",""ตราด!L299"")"),116320)</f>
        <v>116320</v>
      </c>
      <c r="M404" s="165"/>
      <c r="N404" s="169">
        <f ca="1">IFERROR(__xludf.DUMMYFUNCTION("IMPORTRANGE(""https://docs.google.com/spreadsheets/d/1SX6NBoVAgQJ6U1MVXOaj8PK2l7WJ3RER9xtqwdhxkhw/edit?usp=sharing"",""ตราด!M299"")"),97565)</f>
        <v>97565</v>
      </c>
      <c r="O404" s="169">
        <f t="shared" ca="1" si="112"/>
        <v>83.876375515818438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IFERROR(__xludf.DUMMYFUNCTION("IMPORTRANGE(""https://docs.google.com/spreadsheets/d/1SX6NBoVAgQJ6U1MVXOaj8PK2l7WJ3RER9xtqwdhxkhw/edit?usp=sharing"",""ตราด!L300"")"),0)</f>
        <v>0</v>
      </c>
      <c r="M405" s="169"/>
      <c r="N405" s="169">
        <f ca="1">IFERROR(__xludf.DUMMYFUNCTION("IMPORTRANGE(""https://docs.google.com/spreadsheets/d/1SX6NBoVAgQJ6U1MVXOaj8PK2l7WJ3RER9xtqwdhxkhw/edit?usp=sharing"",""ตราด!M300"")"),0)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IFERROR(__xludf.DUMMYFUNCTION("IMPORTRANGE(""https://docs.google.com/spreadsheets/d/1SX6NBoVAgQJ6U1MVXOaj8PK2l7WJ3RER9xtqwdhxkhw/edit?usp=sharing"",""ตราด!L301"")"),116320)</f>
        <v>116320</v>
      </c>
      <c r="M406" s="169"/>
      <c r="N406" s="169">
        <f ca="1">IFERROR(__xludf.DUMMYFUNCTION("IMPORTRANGE(""https://docs.google.com/spreadsheets/d/1SX6NBoVAgQJ6U1MVXOaj8PK2l7WJ3RER9xtqwdhxkhw/edit?usp=sharing"",""ตราด!M301"")"),97565)</f>
        <v>97565</v>
      </c>
      <c r="O406" s="169">
        <f t="shared" ca="1" si="112"/>
        <v>83.876375515818438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IFERROR(__xludf.DUMMYFUNCTION("IMPORTRANGE(""https://docs.google.com/spreadsheets/d/1SX6NBoVAgQJ6U1MVXOaj8PK2l7WJ3RER9xtqwdhxkhw/edit?usp=sharing"",""ตราด!M302"")"),69500)</f>
        <v>69500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IFERROR(__xludf.DUMMYFUNCTION("IMPORTRANGE(""https://docs.google.com/spreadsheets/d/1SX6NBoVAgQJ6U1MVXOaj8PK2l7WJ3RER9xtqwdhxkhw/edit?usp=sharing"",""ตราด!M303"")"),22000)</f>
        <v>22000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IFERROR(__xludf.DUMMYFUNCTION("IMPORTRANGE(""https://docs.google.com/spreadsheets/d/1SX6NBoVAgQJ6U1MVXOaj8PK2l7WJ3RER9xtqwdhxkhw/edit?usp=sharing"",""ตราด!M304"")"),0)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IFERROR(__xludf.DUMMYFUNCTION("IMPORTRANGE(""https://docs.google.com/spreadsheets/d/1SX6NBoVAgQJ6U1MVXOaj8PK2l7WJ3RER9xtqwdhxkhw/edit?usp=sharing"",""ตราด!M305"")"),6065)</f>
        <v>6065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IFERROR(__xludf.DUMMYFUNCTION("IMPORTRANGE(""https://docs.google.com/spreadsheets/d/1SX6NBoVAgQJ6U1MVXOaj8PK2l7WJ3RER9xtqwdhxkhw/edit?usp=sharing"",""ตราด!J307"")"),0)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IFERROR(__xludf.DUMMYFUNCTION("IMPORTRANGE(""https://docs.google.com/spreadsheets/d/1SX6NBoVAgQJ6U1MVXOaj8PK2l7WJ3RER9xtqwdhxkhw/edit?usp=sharing"",""ตราด!J308"")"),1)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IFERROR(__xludf.DUMMYFUNCTION("IMPORTRANGE(""https://docs.google.com/spreadsheets/d/1SX6NBoVAgQJ6U1MVXOaj8PK2l7WJ3RER9xtqwdhxkhw/edit?usp=sharing"",""ตราด!J309"")"),1)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IFERROR(__xludf.DUMMYFUNCTION("IMPORTRANGE(""https://docs.google.com/spreadsheets/d/1SX6NBoVAgQJ6U1MVXOaj8PK2l7WJ3RER9xtqwdhxkhw/edit?usp=sharing"",""ตราด!J310"")"),1)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IFERROR(__xludf.DUMMYFUNCTION("IMPORTRANGE(""https://docs.google.com/spreadsheets/d/1SX6NBoVAgQJ6U1MVXOaj8PK2l7WJ3RER9xtqwdhxkhw/edit?usp=sharing"",""ตราด!I311"")"),30)</f>
        <v>30</v>
      </c>
      <c r="J416" s="201">
        <f ca="1">IFERROR(__xludf.DUMMYFUNCTION("IMPORTRANGE(""https://docs.google.com/spreadsheets/d/1SX6NBoVAgQJ6U1MVXOaj8PK2l7WJ3RER9xtqwdhxkhw/edit?usp=sharing"",""ตราด!J311"")"),30)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IFERROR(__xludf.DUMMYFUNCTION("IMPORTRANGE(""https://docs.google.com/spreadsheets/d/1SX6NBoVAgQJ6U1MVXOaj8PK2l7WJ3RER9xtqwdhxkhw/edit?usp=sharing"",""ตราด!I312"")"),10)</f>
        <v>10</v>
      </c>
      <c r="J417" s="392">
        <f ca="1">IFERROR(__xludf.DUMMYFUNCTION("IMPORTRANGE(""https://docs.google.com/spreadsheets/d/1SX6NBoVAgQJ6U1MVXOaj8PK2l7WJ3RER9xtqwdhxkhw/edit?usp=sharing"",""ตราด!J312"")"),10)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IFERROR(__xludf.DUMMYFUNCTION("IMPORTRANGE(""https://docs.google.com/spreadsheets/d/1SX6NBoVAgQJ6U1MVXOaj8PK2l7WJ3RER9xtqwdhxkhw/edit?usp=sharing"",""ตราด!I313"")"),30)</f>
        <v>30</v>
      </c>
      <c r="J418" s="393">
        <f ca="1">IFERROR(__xludf.DUMMYFUNCTION("IMPORTRANGE(""https://docs.google.com/spreadsheets/d/1SX6NBoVAgQJ6U1MVXOaj8PK2l7WJ3RER9xtqwdhxkhw/edit?usp=sharing"",""ตราด!J313"")"),30)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IFERROR(__xludf.DUMMYFUNCTION("IMPORTRANGE(""https://docs.google.com/spreadsheets/d/1SX6NBoVAgQJ6U1MVXOaj8PK2l7WJ3RER9xtqwdhxkhw/edit?usp=sharing"",""ตราด!I314"")"),10)</f>
        <v>10</v>
      </c>
      <c r="J419" s="394">
        <f ca="1">IFERROR(__xludf.DUMMYFUNCTION("IMPORTRANGE(""https://docs.google.com/spreadsheets/d/1SX6NBoVAgQJ6U1MVXOaj8PK2l7WJ3RER9xtqwdhxkhw/edit?usp=sharing"",""ตราด!J314"")"),10)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IFERROR(__xludf.DUMMYFUNCTION("IMPORTRANGE(""https://docs.google.com/spreadsheets/d/1SX6NBoVAgQJ6U1MVXOaj8PK2l7WJ3RER9xtqwdhxkhw/edit?usp=sharing"",""ตราด!I315"")"),10)</f>
        <v>10</v>
      </c>
      <c r="J420" s="394">
        <f ca="1">IFERROR(__xludf.DUMMYFUNCTION("IMPORTRANGE(""https://docs.google.com/spreadsheets/d/1SX6NBoVAgQJ6U1MVXOaj8PK2l7WJ3RER9xtqwdhxkhw/edit?usp=sharing"",""ตราด!J315"")"),10)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IFERROR(__xludf.DUMMYFUNCTION("IMPORTRANGE(""https://docs.google.com/spreadsheets/d/1SX6NBoVAgQJ6U1MVXOaj8PK2l7WJ3RER9xtqwdhxkhw/edit?usp=sharing"",""ตราด!I316"")"),10)</f>
        <v>10</v>
      </c>
      <c r="J421" s="392">
        <f ca="1">IFERROR(__xludf.DUMMYFUNCTION("IMPORTRANGE(""https://docs.google.com/spreadsheets/d/1SX6NBoVAgQJ6U1MVXOaj8PK2l7WJ3RER9xtqwdhxkhw/edit?usp=sharing"",""ตราด!J316"")"),10)</f>
        <v>10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IFERROR(__xludf.DUMMYFUNCTION("IMPORTRANGE(""https://docs.google.com/spreadsheets/d/1SX6NBoVAgQJ6U1MVXOaj8PK2l7WJ3RER9xtqwdhxkhw/edit?usp=sharing"",""ตราด!I317"")"),30)</f>
        <v>30</v>
      </c>
      <c r="J422" s="393">
        <f ca="1">IFERROR(__xludf.DUMMYFUNCTION("IMPORTRANGE(""https://docs.google.com/spreadsheets/d/1SX6NBoVAgQJ6U1MVXOaj8PK2l7WJ3RER9xtqwdhxkhw/edit?usp=sharing"",""ตราด!J317"")"),30)</f>
        <v>30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IFERROR(__xludf.DUMMYFUNCTION("IMPORTRANGE(""https://docs.google.com/spreadsheets/d/1SX6NBoVAgQJ6U1MVXOaj8PK2l7WJ3RER9xtqwdhxkhw/edit?usp=sharing"",""ตราด!I318"")"),10)</f>
        <v>10</v>
      </c>
      <c r="J423" s="394">
        <f ca="1">IFERROR(__xludf.DUMMYFUNCTION("IMPORTRANGE(""https://docs.google.com/spreadsheets/d/1SX6NBoVAgQJ6U1MVXOaj8PK2l7WJ3RER9xtqwdhxkhw/edit?usp=sharing"",""ตราด!J318"")"),10)</f>
        <v>10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IFERROR(__xludf.DUMMYFUNCTION("IMPORTRANGE(""https://docs.google.com/spreadsheets/d/1SX6NBoVAgQJ6U1MVXOaj8PK2l7WJ3RER9xtqwdhxkhw/edit?usp=sharing"",""ตราด!I319"")"),10)</f>
        <v>10</v>
      </c>
      <c r="J424" s="394">
        <f ca="1">IFERROR(__xludf.DUMMYFUNCTION("IMPORTRANGE(""https://docs.google.com/spreadsheets/d/1SX6NBoVAgQJ6U1MVXOaj8PK2l7WJ3RER9xtqwdhxkhw/edit?usp=sharing"",""ตราด!J319"")"),10)</f>
        <v>10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IFERROR(__xludf.DUMMYFUNCTION("IMPORTRANGE(""https://docs.google.com/spreadsheets/d/1SX6NBoVAgQJ6U1MVXOaj8PK2l7WJ3RER9xtqwdhxkhw/edit?usp=sharing"",""ตราด!I320"")"),10)</f>
        <v>10</v>
      </c>
      <c r="J425" s="394">
        <f ca="1">IFERROR(__xludf.DUMMYFUNCTION("IMPORTRANGE(""https://docs.google.com/spreadsheets/d/1SX6NBoVAgQJ6U1MVXOaj8PK2l7WJ3RER9xtqwdhxkhw/edit?usp=sharing"",""ตราด!J320"")"),10)</f>
        <v>10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IFERROR(__xludf.DUMMYFUNCTION("IMPORTRANGE(""https://docs.google.com/spreadsheets/d/1SX6NBoVAgQJ6U1MVXOaj8PK2l7WJ3RER9xtqwdhxkhw/edit?usp=sharing"",""ตราด!I321"")"),10)</f>
        <v>10</v>
      </c>
      <c r="J426" s="392">
        <f ca="1">IFERROR(__xludf.DUMMYFUNCTION("IMPORTRANGE(""https://docs.google.com/spreadsheets/d/1SX6NBoVAgQJ6U1MVXOaj8PK2l7WJ3RER9xtqwdhxkhw/edit?usp=sharing"",""ตราด!J321"")"),10)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IFERROR(__xludf.DUMMYFUNCTION("IMPORTRANGE(""https://docs.google.com/spreadsheets/d/1SX6NBoVAgQJ6U1MVXOaj8PK2l7WJ3RER9xtqwdhxkhw/edit?usp=sharing"",""ตราด!I322"")"),30)</f>
        <v>30</v>
      </c>
      <c r="J427" s="393">
        <f ca="1">IFERROR(__xludf.DUMMYFUNCTION("IMPORTRANGE(""https://docs.google.com/spreadsheets/d/1SX6NBoVAgQJ6U1MVXOaj8PK2l7WJ3RER9xtqwdhxkhw/edit?usp=sharing"",""ตราด!J322"")"),30)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IFERROR(__xludf.DUMMYFUNCTION("IMPORTRANGE(""https://docs.google.com/spreadsheets/d/1SX6NBoVAgQJ6U1MVXOaj8PK2l7WJ3RER9xtqwdhxkhw/edit?usp=sharing"",""ตราด!I323"")"),10)</f>
        <v>10</v>
      </c>
      <c r="J428" s="394">
        <f ca="1">IFERROR(__xludf.DUMMYFUNCTION("IMPORTRANGE(""https://docs.google.com/spreadsheets/d/1SX6NBoVAgQJ6U1MVXOaj8PK2l7WJ3RER9xtqwdhxkhw/edit?usp=sharing"",""ตราด!J323"")"),10)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IFERROR(__xludf.DUMMYFUNCTION("IMPORTRANGE(""https://docs.google.com/spreadsheets/d/1SX6NBoVAgQJ6U1MVXOaj8PK2l7WJ3RER9xtqwdhxkhw/edit?usp=sharing"",""ตราด!I324"")"),10)</f>
        <v>10</v>
      </c>
      <c r="J429" s="394">
        <f ca="1">IFERROR(__xludf.DUMMYFUNCTION("IMPORTRANGE(""https://docs.google.com/spreadsheets/d/1SX6NBoVAgQJ6U1MVXOaj8PK2l7WJ3RER9xtqwdhxkhw/edit?usp=sharing"",""ตราด!J324"")"),10)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IFERROR(__xludf.DUMMYFUNCTION("IMPORTRANGE(""https://docs.google.com/spreadsheets/d/1SX6NBoVAgQJ6U1MVXOaj8PK2l7WJ3RER9xtqwdhxkhw/edit?usp=sharing"",""ตราด!I325"")"),20)</f>
        <v>20</v>
      </c>
      <c r="J430" s="392">
        <f ca="1">IFERROR(__xludf.DUMMYFUNCTION("IMPORTRANGE(""https://docs.google.com/spreadsheets/d/1SX6NBoVAgQJ6U1MVXOaj8PK2l7WJ3RER9xtqwdhxkhw/edit?usp=sharing"",""ตราด!J325"")"),20)</f>
        <v>20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IFERROR(__xludf.DUMMYFUNCTION("IMPORTRANGE(""https://docs.google.com/spreadsheets/d/1SX6NBoVAgQJ6U1MVXOaj8PK2l7WJ3RER9xtqwdhxkhw/edit?usp=sharing"",""ตราด!I326"")"),10)</f>
        <v>10</v>
      </c>
      <c r="J431" s="394">
        <f ca="1">IFERROR(__xludf.DUMMYFUNCTION("IMPORTRANGE(""https://docs.google.com/spreadsheets/d/1SX6NBoVAgQJ6U1MVXOaj8PK2l7WJ3RER9xtqwdhxkhw/edit?usp=sharing"",""ตราด!J326"")"),10)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IFERROR(__xludf.DUMMYFUNCTION("IMPORTRANGE(""https://docs.google.com/spreadsheets/d/1SX6NBoVAgQJ6U1MVXOaj8PK2l7WJ3RER9xtqwdhxkhw/edit?usp=sharing"",""ตราด!I327"")"),10)</f>
        <v>10</v>
      </c>
      <c r="J432" s="394">
        <f ca="1">IFERROR(__xludf.DUMMYFUNCTION("IMPORTRANGE(""https://docs.google.com/spreadsheets/d/1SX6NBoVAgQJ6U1MVXOaj8PK2l7WJ3RER9xtqwdhxkhw/edit?usp=sharing"",""ตราด!J327"")"),10)</f>
        <v>10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IFERROR(__xludf.DUMMYFUNCTION("IMPORTRANGE(""https://docs.google.com/spreadsheets/d/1SX6NBoVAgQJ6U1MVXOaj8PK2l7WJ3RER9xtqwdhxkhw/edit?usp=sharing"",""ตราด!J328"")"),0)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IFERROR(__xludf.DUMMYFUNCTION("IMPORTRANGE(""https://docs.google.com/spreadsheets/d/1SX6NBoVAgQJ6U1MVXOaj8PK2l7WJ3RER9xtqwdhxkhw/edit?usp=sharing"",""ตราด!J329"")"),0)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IFERROR(__xludf.DUMMYFUNCTION("IMPORTRANGE(""https://docs.google.com/spreadsheets/d/1SX6NBoVAgQJ6U1MVXOaj8PK2l7WJ3RER9xtqwdhxkhw/edit?usp=sharing"",""ตราด!I330"")"),10)</f>
        <v>10</v>
      </c>
      <c r="J435" s="410">
        <f ca="1">IFERROR(__xludf.DUMMYFUNCTION("IMPORTRANGE(""https://docs.google.com/spreadsheets/d/1SX6NBoVAgQJ6U1MVXOaj8PK2l7WJ3RER9xtqwdhxkhw/edit?usp=sharing"",""ตราด!J330"")"),10)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IFERROR(__xludf.DUMMYFUNCTION("IMPORTRANGE(""https://docs.google.com/spreadsheets/d/1SX6NBoVAgQJ6U1MVXOaj8PK2l7WJ3RER9xtqwdhxkhw/edit?usp=sharing"",""ตราด!L330"")"),77000)</f>
        <v>77000</v>
      </c>
      <c r="M435" s="412"/>
      <c r="N435" s="412">
        <f ca="1">IFERROR(__xludf.DUMMYFUNCTION("IMPORTRANGE(""https://docs.google.com/spreadsheets/d/1SX6NBoVAgQJ6U1MVXOaj8PK2l7WJ3RER9xtqwdhxkhw/edit?usp=sharing"",""ตราด!M330"")"),52573)</f>
        <v>52573</v>
      </c>
      <c r="O435" s="412">
        <f t="shared" ref="O435:O439" ca="1" si="114">+IF(L435&gt;0,N435*100/L435,0)</f>
        <v>68.276623376623377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IFERROR(__xludf.DUMMYFUNCTION("IMPORTRANGE(""https://docs.google.com/spreadsheets/d/1SX6NBoVAgQJ6U1MVXOaj8PK2l7WJ3RER9xtqwdhxkhw/edit?usp=sharing"",""ตราด!L331"")"),0)</f>
        <v>0</v>
      </c>
      <c r="M436" s="164"/>
      <c r="N436" s="169">
        <f ca="1">IFERROR(__xludf.DUMMYFUNCTION("IMPORTRANGE(""https://docs.google.com/spreadsheets/d/1SX6NBoVAgQJ6U1MVXOaj8PK2l7WJ3RER9xtqwdhxkhw/edit?usp=sharing"",""ตราด!M331"")"),0)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IFERROR(__xludf.DUMMYFUNCTION("IMPORTRANGE(""https://docs.google.com/spreadsheets/d/1SX6NBoVAgQJ6U1MVXOaj8PK2l7WJ3RER9xtqwdhxkhw/edit?usp=sharing"",""ตราด!L332"")"),77000)</f>
        <v>77000</v>
      </c>
      <c r="M437" s="165"/>
      <c r="N437" s="169">
        <f ca="1">IFERROR(__xludf.DUMMYFUNCTION("IMPORTRANGE(""https://docs.google.com/spreadsheets/d/1SX6NBoVAgQJ6U1MVXOaj8PK2l7WJ3RER9xtqwdhxkhw/edit?usp=sharing"",""ตราด!M332"")"),52573)</f>
        <v>52573</v>
      </c>
      <c r="O437" s="169">
        <f t="shared" ca="1" si="114"/>
        <v>68.276623376623377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IFERROR(__xludf.DUMMYFUNCTION("IMPORTRANGE(""https://docs.google.com/spreadsheets/d/1SX6NBoVAgQJ6U1MVXOaj8PK2l7WJ3RER9xtqwdhxkhw/edit?usp=sharing"",""ตราด!L333"")"),0)</f>
        <v>0</v>
      </c>
      <c r="M438" s="169"/>
      <c r="N438" s="169">
        <f ca="1">IFERROR(__xludf.DUMMYFUNCTION("IMPORTRANGE(""https://docs.google.com/spreadsheets/d/1SX6NBoVAgQJ6U1MVXOaj8PK2l7WJ3RER9xtqwdhxkhw/edit?usp=sharing"",""ตราด!M333"")"),0)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IFERROR(__xludf.DUMMYFUNCTION("IMPORTRANGE(""https://docs.google.com/spreadsheets/d/1SX6NBoVAgQJ6U1MVXOaj8PK2l7WJ3RER9xtqwdhxkhw/edit?usp=sharing"",""ตราด!L334"")"),77000)</f>
        <v>77000</v>
      </c>
      <c r="M439" s="169"/>
      <c r="N439" s="169">
        <f ca="1">IFERROR(__xludf.DUMMYFUNCTION("IMPORTRANGE(""https://docs.google.com/spreadsheets/d/1SX6NBoVAgQJ6U1MVXOaj8PK2l7WJ3RER9xtqwdhxkhw/edit?usp=sharing"",""ตราด!M334"")"),52573)</f>
        <v>52573</v>
      </c>
      <c r="O439" s="169">
        <f t="shared" ca="1" si="114"/>
        <v>68.276623376623377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IFERROR(__xludf.DUMMYFUNCTION("IMPORTRANGE(""https://docs.google.com/spreadsheets/d/1SX6NBoVAgQJ6U1MVXOaj8PK2l7WJ3RER9xtqwdhxkhw/edit?usp=sharing"",""ตราด!M335"")"),38973)</f>
        <v>38973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IFERROR(__xludf.DUMMYFUNCTION("IMPORTRANGE(""https://docs.google.com/spreadsheets/d/1SX6NBoVAgQJ6U1MVXOaj8PK2l7WJ3RER9xtqwdhxkhw/edit?usp=sharing"",""ตราด!M336"")"),0)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IFERROR(__xludf.DUMMYFUNCTION("IMPORTRANGE(""https://docs.google.com/spreadsheets/d/1SX6NBoVAgQJ6U1MVXOaj8PK2l7WJ3RER9xtqwdhxkhw/edit?usp=sharing"",""ตราด!M337"")"),0)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IFERROR(__xludf.DUMMYFUNCTION("IMPORTRANGE(""https://docs.google.com/spreadsheets/d/1SX6NBoVAgQJ6U1MVXOaj8PK2l7WJ3RER9xtqwdhxkhw/edit?usp=sharing"",""ตราด!M338"")"),13600)</f>
        <v>13600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IFERROR(__xludf.DUMMYFUNCTION("IMPORTRANGE(""https://docs.google.com/spreadsheets/d/1SX6NBoVAgQJ6U1MVXOaj8PK2l7WJ3RER9xtqwdhxkhw/edit?usp=sharing"",""ตราด!J340"")"),0)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IFERROR(__xludf.DUMMYFUNCTION("IMPORTRANGE(""https://docs.google.com/spreadsheets/d/1SX6NBoVAgQJ6U1MVXOaj8PK2l7WJ3RER9xtqwdhxkhw/edit?usp=sharing"",""ตราด!J341"")"),1)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IFERROR(__xludf.DUMMYFUNCTION("IMPORTRANGE(""https://docs.google.com/spreadsheets/d/1SX6NBoVAgQJ6U1MVXOaj8PK2l7WJ3RER9xtqwdhxkhw/edit?usp=sharing"",""ตราด!J342"")"),1)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IFERROR(__xludf.DUMMYFUNCTION("IMPORTRANGE(""https://docs.google.com/spreadsheets/d/1SX6NBoVAgQJ6U1MVXOaj8PK2l7WJ3RER9xtqwdhxkhw/edit?usp=sharing"",""ตราด!J343"")"),1)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IFERROR(__xludf.DUMMYFUNCTION("IMPORTRANGE(""https://docs.google.com/spreadsheets/d/1SX6NBoVAgQJ6U1MVXOaj8PK2l7WJ3RER9xtqwdhxkhw/edit?usp=sharing"",""ตราด!I344"")"),10)</f>
        <v>10</v>
      </c>
      <c r="J449" s="201">
        <f ca="1">IFERROR(__xludf.DUMMYFUNCTION("IMPORTRANGE(""https://docs.google.com/spreadsheets/d/1SX6NBoVAgQJ6U1MVXOaj8PK2l7WJ3RER9xtqwdhxkhw/edit?usp=sharing"",""ตราด!J344"")"),10)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IFERROR(__xludf.DUMMYFUNCTION("IMPORTRANGE(""https://docs.google.com/spreadsheets/d/1SX6NBoVAgQJ6U1MVXOaj8PK2l7WJ3RER9xtqwdhxkhw/edit?usp=sharing"",""ตราด!I345"")"),10)</f>
        <v>10</v>
      </c>
      <c r="J450" s="189">
        <f ca="1">IFERROR(__xludf.DUMMYFUNCTION("IMPORTRANGE(""https://docs.google.com/spreadsheets/d/1SX6NBoVAgQJ6U1MVXOaj8PK2l7WJ3RER9xtqwdhxkhw/edit?usp=sharing"",""ตราด!J345"")"),10)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IFERROR(__xludf.DUMMYFUNCTION("IMPORTRANGE(""https://docs.google.com/spreadsheets/d/1SX6NBoVAgQJ6U1MVXOaj8PK2l7WJ3RER9xtqwdhxkhw/edit?usp=sharing"",""ตราด!I346"")"),0)</f>
        <v>0</v>
      </c>
      <c r="J451" s="188">
        <f ca="1">IFERROR(__xludf.DUMMYFUNCTION("IMPORTRANGE(""https://docs.google.com/spreadsheets/d/1SX6NBoVAgQJ6U1MVXOaj8PK2l7WJ3RER9xtqwdhxkhw/edit?usp=sharing"",""ตราด!J346"")"),0)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IFERROR(__xludf.DUMMYFUNCTION("IMPORTRANGE(""https://docs.google.com/spreadsheets/d/1SX6NBoVAgQJ6U1MVXOaj8PK2l7WJ3RER9xtqwdhxkhw/edit?usp=sharing"",""ตราด!I347"")"),0)</f>
        <v>0</v>
      </c>
      <c r="J452" s="188">
        <f ca="1">IFERROR(__xludf.DUMMYFUNCTION("IMPORTRANGE(""https://docs.google.com/spreadsheets/d/1SX6NBoVAgQJ6U1MVXOaj8PK2l7WJ3RER9xtqwdhxkhw/edit?usp=sharing"",""ตราด!J347"")"),0)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IFERROR(__xludf.DUMMYFUNCTION("IMPORTRANGE(""https://docs.google.com/spreadsheets/d/1SX6NBoVAgQJ6U1MVXOaj8PK2l7WJ3RER9xtqwdhxkhw/edit?usp=sharing"",""ตราด!J348"")"),0)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IFERROR(__xludf.DUMMYFUNCTION("IMPORTRANGE(""https://docs.google.com/spreadsheets/d/1SX6NBoVAgQJ6U1MVXOaj8PK2l7WJ3RER9xtqwdhxkhw/edit?usp=sharing"",""ตราด!J349"")"),0)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IFERROR(__xludf.DUMMYFUNCTION("IMPORTRANGE(""https://docs.google.com/spreadsheets/d/1SX6NBoVAgQJ6U1MVXOaj8PK2l7WJ3RER9xtqwdhxkhw/edit?usp=sharing"",""ตราด!I350"")"),0)</f>
        <v>0</v>
      </c>
      <c r="J455" s="371">
        <f ca="1">IFERROR(__xludf.DUMMYFUNCTION("IMPORTRANGE(""https://docs.google.com/spreadsheets/d/1SX6NBoVAgQJ6U1MVXOaj8PK2l7WJ3RER9xtqwdhxkhw/edit?usp=sharing"",""ตราด!J350"")"),0)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IFERROR(__xludf.DUMMYFUNCTION("IMPORTRANGE(""https://docs.google.com/spreadsheets/d/1SX6NBoVAgQJ6U1MVXOaj8PK2l7WJ3RER9xtqwdhxkhw/edit?usp=sharing"",""ตราด!L350"")"),66252)</f>
        <v>66252</v>
      </c>
      <c r="M455" s="373"/>
      <c r="N455" s="373">
        <f ca="1">IFERROR(__xludf.DUMMYFUNCTION("IMPORTRANGE(""https://docs.google.com/spreadsheets/d/1SX6NBoVAgQJ6U1MVXOaj8PK2l7WJ3RER9xtqwdhxkhw/edit?usp=sharing"",""ตราด!M350"")"),28115)</f>
        <v>28115</v>
      </c>
      <c r="O455" s="373">
        <f t="shared" ref="O455:O459" ca="1" si="116">+IF(L455&gt;0,N455*100/L455,0)</f>
        <v>42.436454748535894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IFERROR(__xludf.DUMMYFUNCTION("IMPORTRANGE(""https://docs.google.com/spreadsheets/d/1SX6NBoVAgQJ6U1MVXOaj8PK2l7WJ3RER9xtqwdhxkhw/edit?usp=sharing"",""ตราด!L351"")"),0)</f>
        <v>0</v>
      </c>
      <c r="M456" s="164"/>
      <c r="N456" s="169">
        <f ca="1">IFERROR(__xludf.DUMMYFUNCTION("IMPORTRANGE(""https://docs.google.com/spreadsheets/d/1SX6NBoVAgQJ6U1MVXOaj8PK2l7WJ3RER9xtqwdhxkhw/edit?usp=sharing"",""ตราด!M351"")"),0)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IFERROR(__xludf.DUMMYFUNCTION("IMPORTRANGE(""https://docs.google.com/spreadsheets/d/1SX6NBoVAgQJ6U1MVXOaj8PK2l7WJ3RER9xtqwdhxkhw/edit?usp=sharing"",""ตราด!L352"")"),66252)</f>
        <v>66252</v>
      </c>
      <c r="M457" s="165"/>
      <c r="N457" s="169">
        <f ca="1">IFERROR(__xludf.DUMMYFUNCTION("IMPORTRANGE(""https://docs.google.com/spreadsheets/d/1SX6NBoVAgQJ6U1MVXOaj8PK2l7WJ3RER9xtqwdhxkhw/edit?usp=sharing"",""ตราด!M352"")"),28115)</f>
        <v>28115</v>
      </c>
      <c r="O457" s="169">
        <f t="shared" ca="1" si="116"/>
        <v>42.436454748535894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IFERROR(__xludf.DUMMYFUNCTION("IMPORTRANGE(""https://docs.google.com/spreadsheets/d/1SX6NBoVAgQJ6U1MVXOaj8PK2l7WJ3RER9xtqwdhxkhw/edit?usp=sharing"",""ตราด!L353"")"),0)</f>
        <v>0</v>
      </c>
      <c r="M458" s="169"/>
      <c r="N458" s="169">
        <f ca="1">IFERROR(__xludf.DUMMYFUNCTION("IMPORTRANGE(""https://docs.google.com/spreadsheets/d/1SX6NBoVAgQJ6U1MVXOaj8PK2l7WJ3RER9xtqwdhxkhw/edit?usp=sharing"",""ตราด!M353"")"),0)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IFERROR(__xludf.DUMMYFUNCTION("IMPORTRANGE(""https://docs.google.com/spreadsheets/d/1SX6NBoVAgQJ6U1MVXOaj8PK2l7WJ3RER9xtqwdhxkhw/edit?usp=sharing"",""ตราด!L354"")"),66252)</f>
        <v>66252</v>
      </c>
      <c r="M459" s="169"/>
      <c r="N459" s="169">
        <f ca="1">IFERROR(__xludf.DUMMYFUNCTION("IMPORTRANGE(""https://docs.google.com/spreadsheets/d/1SX6NBoVAgQJ6U1MVXOaj8PK2l7WJ3RER9xtqwdhxkhw/edit?usp=sharing"",""ตราด!M354"")"),28115)</f>
        <v>28115</v>
      </c>
      <c r="O459" s="169">
        <f t="shared" ca="1" si="116"/>
        <v>42.436454748535894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IFERROR(__xludf.DUMMYFUNCTION("IMPORTRANGE(""https://docs.google.com/spreadsheets/d/1SX6NBoVAgQJ6U1MVXOaj8PK2l7WJ3RER9xtqwdhxkhw/edit?usp=sharing"",""ตราด!M355"")"),0)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IFERROR(__xludf.DUMMYFUNCTION("IMPORTRANGE(""https://docs.google.com/spreadsheets/d/1SX6NBoVAgQJ6U1MVXOaj8PK2l7WJ3RER9xtqwdhxkhw/edit?usp=sharing"",""ตราด!M356"")"),0)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IFERROR(__xludf.DUMMYFUNCTION("IMPORTRANGE(""https://docs.google.com/spreadsheets/d/1SX6NBoVAgQJ6U1MVXOaj8PK2l7WJ3RER9xtqwdhxkhw/edit?usp=sharing"",""ตราด!M357"")"),0)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IFERROR(__xludf.DUMMYFUNCTION("IMPORTRANGE(""https://docs.google.com/spreadsheets/d/1SX6NBoVAgQJ6U1MVXOaj8PK2l7WJ3RER9xtqwdhxkhw/edit?usp=sharing"",""ตราด!M358"")"),28115)</f>
        <v>28115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IFERROR(__xludf.DUMMYFUNCTION("IMPORTRANGE(""https://docs.google.com/spreadsheets/d/1SX6NBoVAgQJ6U1MVXOaj8PK2l7WJ3RER9xtqwdhxkhw/edit?usp=sharing"",""ตราด!I359"")"),0)</f>
        <v>0</v>
      </c>
      <c r="J464" s="268">
        <f ca="1">IFERROR(__xludf.DUMMYFUNCTION("IMPORTRANGE(""https://docs.google.com/spreadsheets/d/1SX6NBoVAgQJ6U1MVXOaj8PK2l7WJ3RER9xtqwdhxkhw/edit?usp=sharing"",""ตราด!J359"")"),0)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IFERROR(__xludf.DUMMYFUNCTION("IMPORTRANGE(""https://docs.google.com/spreadsheets/d/1SX6NBoVAgQJ6U1MVXOaj8PK2l7WJ3RER9xtqwdhxkhw/edit?usp=sharing"",""ตราด!I360"")"),0)</f>
        <v>0</v>
      </c>
      <c r="J465" s="420">
        <f ca="1">IFERROR(__xludf.DUMMYFUNCTION("IMPORTRANGE(""https://docs.google.com/spreadsheets/d/1SX6NBoVAgQJ6U1MVXOaj8PK2l7WJ3RER9xtqwdhxkhw/edit?usp=sharing"",""ตราด!J360"")"),0)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IFERROR(__xludf.DUMMYFUNCTION("IMPORTRANGE(""https://docs.google.com/spreadsheets/d/1SX6NBoVAgQJ6U1MVXOaj8PK2l7WJ3RER9xtqwdhxkhw/edit?usp=sharing"",""ตราด!I361"")"),0)</f>
        <v>0</v>
      </c>
      <c r="J466" s="420">
        <f ca="1">IFERROR(__xludf.DUMMYFUNCTION("IMPORTRANGE(""https://docs.google.com/spreadsheets/d/1SX6NBoVAgQJ6U1MVXOaj8PK2l7WJ3RER9xtqwdhxkhw/edit?usp=sharing"",""ตราด!J361"")"),0)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IFERROR(__xludf.DUMMYFUNCTION("IMPORTRANGE(""https://docs.google.com/spreadsheets/d/1SX6NBoVAgQJ6U1MVXOaj8PK2l7WJ3RER9xtqwdhxkhw/edit?usp=sharing"",""ตราด!I362"")"),0)</f>
        <v>0</v>
      </c>
      <c r="J467" s="189">
        <f ca="1">IFERROR(__xludf.DUMMYFUNCTION("IMPORTRANGE(""https://docs.google.com/spreadsheets/d/1SX6NBoVAgQJ6U1MVXOaj8PK2l7WJ3RER9xtqwdhxkhw/edit?usp=sharing"",""ตราด!J362"")"),0)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IFERROR(__xludf.DUMMYFUNCTION("IMPORTRANGE(""https://docs.google.com/spreadsheets/d/1SX6NBoVAgQJ6U1MVXOaj8PK2l7WJ3RER9xtqwdhxkhw/edit?usp=sharing"",""ตราด!I363"")"),0)</f>
        <v>0</v>
      </c>
      <c r="J468" s="189">
        <f ca="1">IFERROR(__xludf.DUMMYFUNCTION("IMPORTRANGE(""https://docs.google.com/spreadsheets/d/1SX6NBoVAgQJ6U1MVXOaj8PK2l7WJ3RER9xtqwdhxkhw/edit?usp=sharing"",""ตราด!J363"")"),0)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IFERROR(__xludf.DUMMYFUNCTION("IMPORTRANGE(""https://docs.google.com/spreadsheets/d/1SX6NBoVAgQJ6U1MVXOaj8PK2l7WJ3RER9xtqwdhxkhw/edit?usp=sharing"",""ตราด!I364"")"),0)</f>
        <v>0</v>
      </c>
      <c r="J469" s="189">
        <f ca="1">IFERROR(__xludf.DUMMYFUNCTION("IMPORTRANGE(""https://docs.google.com/spreadsheets/d/1SX6NBoVAgQJ6U1MVXOaj8PK2l7WJ3RER9xtqwdhxkhw/edit?usp=sharing"",""ตราด!J364"")"),0)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IFERROR(__xludf.DUMMYFUNCTION("IMPORTRANGE(""https://docs.google.com/spreadsheets/d/1SX6NBoVAgQJ6U1MVXOaj8PK2l7WJ3RER9xtqwdhxkhw/edit?usp=sharing"",""ตราด!I365"")"),0)</f>
        <v>0</v>
      </c>
      <c r="J470" s="189">
        <f ca="1">IFERROR(__xludf.DUMMYFUNCTION("IMPORTRANGE(""https://docs.google.com/spreadsheets/d/1SX6NBoVAgQJ6U1MVXOaj8PK2l7WJ3RER9xtqwdhxkhw/edit?usp=sharing"",""ตราด!J365"")"),0)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IFERROR(__xludf.DUMMYFUNCTION("IMPORTRANGE(""https://docs.google.com/spreadsheets/d/1SX6NBoVAgQJ6U1MVXOaj8PK2l7WJ3RER9xtqwdhxkhw/edit?usp=sharing"",""ตราด!I366"")"),0)</f>
        <v>0</v>
      </c>
      <c r="J471" s="189">
        <f ca="1">IFERROR(__xludf.DUMMYFUNCTION("IMPORTRANGE(""https://docs.google.com/spreadsheets/d/1SX6NBoVAgQJ6U1MVXOaj8PK2l7WJ3RER9xtqwdhxkhw/edit?usp=sharing"",""ตราด!J366"")"),0)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IFERROR(__xludf.DUMMYFUNCTION("IMPORTRANGE(""https://docs.google.com/spreadsheets/d/1SX6NBoVAgQJ6U1MVXOaj8PK2l7WJ3RER9xtqwdhxkhw/edit?usp=sharing"",""ตราด!I367"")"),0)</f>
        <v>0</v>
      </c>
      <c r="J472" s="189">
        <f ca="1">IFERROR(__xludf.DUMMYFUNCTION("IMPORTRANGE(""https://docs.google.com/spreadsheets/d/1SX6NBoVAgQJ6U1MVXOaj8PK2l7WJ3RER9xtqwdhxkhw/edit?usp=sharing"",""ตราด!J367"")"),0)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IFERROR(__xludf.DUMMYFUNCTION("IMPORTRANGE(""https://docs.google.com/spreadsheets/d/1SX6NBoVAgQJ6U1MVXOaj8PK2l7WJ3RER9xtqwdhxkhw/edit?usp=sharing"",""ตราด!I368"")"),0)</f>
        <v>0</v>
      </c>
      <c r="J473" s="420">
        <f ca="1">IFERROR(__xludf.DUMMYFUNCTION("IMPORTRANGE(""https://docs.google.com/spreadsheets/d/1SX6NBoVAgQJ6U1MVXOaj8PK2l7WJ3RER9xtqwdhxkhw/edit?usp=sharing"",""ตราด!J368"")"),0)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IFERROR(__xludf.DUMMYFUNCTION("IMPORTRANGE(""https://docs.google.com/spreadsheets/d/1SX6NBoVAgQJ6U1MVXOaj8PK2l7WJ3RER9xtqwdhxkhw/edit?usp=sharing"",""ตราด!I369"")"),0)</f>
        <v>0</v>
      </c>
      <c r="J474" s="420">
        <f ca="1">IFERROR(__xludf.DUMMYFUNCTION("IMPORTRANGE(""https://docs.google.com/spreadsheets/d/1SX6NBoVAgQJ6U1MVXOaj8PK2l7WJ3RER9xtqwdhxkhw/edit?usp=sharing"",""ตราด!J369"")"),0)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IFERROR(__xludf.DUMMYFUNCTION("IMPORTRANGE(""https://docs.google.com/spreadsheets/d/1SX6NBoVAgQJ6U1MVXOaj8PK2l7WJ3RER9xtqwdhxkhw/edit?usp=sharing"",""ตราด!I370"")"),0)</f>
        <v>0</v>
      </c>
      <c r="J475" s="189">
        <f ca="1">IFERROR(__xludf.DUMMYFUNCTION("IMPORTRANGE(""https://docs.google.com/spreadsheets/d/1SX6NBoVAgQJ6U1MVXOaj8PK2l7WJ3RER9xtqwdhxkhw/edit?usp=sharing"",""ตราด!J370"")"),0)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IFERROR(__xludf.DUMMYFUNCTION("IMPORTRANGE(""https://docs.google.com/spreadsheets/d/1SX6NBoVAgQJ6U1MVXOaj8PK2l7WJ3RER9xtqwdhxkhw/edit?usp=sharing"",""ตราด!I371"")"),0)</f>
        <v>0</v>
      </c>
      <c r="J476" s="189">
        <f ca="1">IFERROR(__xludf.DUMMYFUNCTION("IMPORTRANGE(""https://docs.google.com/spreadsheets/d/1SX6NBoVAgQJ6U1MVXOaj8PK2l7WJ3RER9xtqwdhxkhw/edit?usp=sharing"",""ตราด!J371"")"),0)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IFERROR(__xludf.DUMMYFUNCTION("IMPORTRANGE(""https://docs.google.com/spreadsheets/d/1SX6NBoVAgQJ6U1MVXOaj8PK2l7WJ3RER9xtqwdhxkhw/edit?usp=sharing"",""ตราด!I372"")"),0)</f>
        <v>0</v>
      </c>
      <c r="J477" s="189">
        <f ca="1">IFERROR(__xludf.DUMMYFUNCTION("IMPORTRANGE(""https://docs.google.com/spreadsheets/d/1SX6NBoVAgQJ6U1MVXOaj8PK2l7WJ3RER9xtqwdhxkhw/edit?usp=sharing"",""ตราด!J372"")"),0)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IFERROR(__xludf.DUMMYFUNCTION("IMPORTRANGE(""https://docs.google.com/spreadsheets/d/1SX6NBoVAgQJ6U1MVXOaj8PK2l7WJ3RER9xtqwdhxkhw/edit?usp=sharing"",""ตราด!I373"")"),0)</f>
        <v>0</v>
      </c>
      <c r="J478" s="189">
        <f ca="1">IFERROR(__xludf.DUMMYFUNCTION("IMPORTRANGE(""https://docs.google.com/spreadsheets/d/1SX6NBoVAgQJ6U1MVXOaj8PK2l7WJ3RER9xtqwdhxkhw/edit?usp=sharing"",""ตราด!J373"")"),0)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IFERROR(__xludf.DUMMYFUNCTION("IMPORTRANGE(""https://docs.google.com/spreadsheets/d/1SX6NBoVAgQJ6U1MVXOaj8PK2l7WJ3RER9xtqwdhxkhw/edit?usp=sharing"",""ตราด!I374"")"),0)</f>
        <v>0</v>
      </c>
      <c r="J479" s="189">
        <f ca="1">IFERROR(__xludf.DUMMYFUNCTION("IMPORTRANGE(""https://docs.google.com/spreadsheets/d/1SX6NBoVAgQJ6U1MVXOaj8PK2l7WJ3RER9xtqwdhxkhw/edit?usp=sharing"",""ตราด!J374"")"),0)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IFERROR(__xludf.DUMMYFUNCTION("IMPORTRANGE(""https://docs.google.com/spreadsheets/d/1SX6NBoVAgQJ6U1MVXOaj8PK2l7WJ3RER9xtqwdhxkhw/edit?usp=sharing"",""ตราด!I375"")"),0)</f>
        <v>0</v>
      </c>
      <c r="J480" s="189">
        <f ca="1">IFERROR(__xludf.DUMMYFUNCTION("IMPORTRANGE(""https://docs.google.com/spreadsheets/d/1SX6NBoVAgQJ6U1MVXOaj8PK2l7WJ3RER9xtqwdhxkhw/edit?usp=sharing"",""ตราด!J375"")"),0)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IFERROR(__xludf.DUMMYFUNCTION("IMPORTRANGE(""https://docs.google.com/spreadsheets/d/1SX6NBoVAgQJ6U1MVXOaj8PK2l7WJ3RER9xtqwdhxkhw/edit?usp=sharing"",""ตราด!I376"")"),0)</f>
        <v>0</v>
      </c>
      <c r="J481" s="420">
        <f ca="1">IFERROR(__xludf.DUMMYFUNCTION("IMPORTRANGE(""https://docs.google.com/spreadsheets/d/1SX6NBoVAgQJ6U1MVXOaj8PK2l7WJ3RER9xtqwdhxkhw/edit?usp=sharing"",""ตราด!J376"")"),0)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IFERROR(__xludf.DUMMYFUNCTION("IMPORTRANGE(""https://docs.google.com/spreadsheets/d/1SX6NBoVAgQJ6U1MVXOaj8PK2l7WJ3RER9xtqwdhxkhw/edit?usp=sharing"",""ตราด!I377"")"),0)</f>
        <v>0</v>
      </c>
      <c r="J482" s="420">
        <f ca="1">IFERROR(__xludf.DUMMYFUNCTION("IMPORTRANGE(""https://docs.google.com/spreadsheets/d/1SX6NBoVAgQJ6U1MVXOaj8PK2l7WJ3RER9xtqwdhxkhw/edit?usp=sharing"",""ตราด!J377"")"),0)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IFERROR(__xludf.DUMMYFUNCTION("IMPORTRANGE(""https://docs.google.com/spreadsheets/d/1SX6NBoVAgQJ6U1MVXOaj8PK2l7WJ3RER9xtqwdhxkhw/edit?usp=sharing"",""ตราด!I378"")"),0)</f>
        <v>0</v>
      </c>
      <c r="J483" s="189">
        <f ca="1">IFERROR(__xludf.DUMMYFUNCTION("IMPORTRANGE(""https://docs.google.com/spreadsheets/d/1SX6NBoVAgQJ6U1MVXOaj8PK2l7WJ3RER9xtqwdhxkhw/edit?usp=sharing"",""ตราด!J378"")"),0)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IFERROR(__xludf.DUMMYFUNCTION("IMPORTRANGE(""https://docs.google.com/spreadsheets/d/1SX6NBoVAgQJ6U1MVXOaj8PK2l7WJ3RER9xtqwdhxkhw/edit?usp=sharing"",""ตราด!I379"")"),0)</f>
        <v>0</v>
      </c>
      <c r="J484" s="189">
        <f ca="1">IFERROR(__xludf.DUMMYFUNCTION("IMPORTRANGE(""https://docs.google.com/spreadsheets/d/1SX6NBoVAgQJ6U1MVXOaj8PK2l7WJ3RER9xtqwdhxkhw/edit?usp=sharing"",""ตราด!J379"")"),0)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IFERROR(__xludf.DUMMYFUNCTION("IMPORTRANGE(""https://docs.google.com/spreadsheets/d/1SX6NBoVAgQJ6U1MVXOaj8PK2l7WJ3RER9xtqwdhxkhw/edit?usp=sharing"",""ตราด!I380"")"),0)</f>
        <v>0</v>
      </c>
      <c r="J485" s="189">
        <f ca="1">IFERROR(__xludf.DUMMYFUNCTION("IMPORTRANGE(""https://docs.google.com/spreadsheets/d/1SX6NBoVAgQJ6U1MVXOaj8PK2l7WJ3RER9xtqwdhxkhw/edit?usp=sharing"",""ตราด!J380"")"),0)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IFERROR(__xludf.DUMMYFUNCTION("IMPORTRANGE(""https://docs.google.com/spreadsheets/d/1SX6NBoVAgQJ6U1MVXOaj8PK2l7WJ3RER9xtqwdhxkhw/edit?usp=sharing"",""ตราด!I381"")"),0)</f>
        <v>0</v>
      </c>
      <c r="J486" s="189">
        <f ca="1">IFERROR(__xludf.DUMMYFUNCTION("IMPORTRANGE(""https://docs.google.com/spreadsheets/d/1SX6NBoVAgQJ6U1MVXOaj8PK2l7WJ3RER9xtqwdhxkhw/edit?usp=sharing"",""ตราด!J381"")"),0)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IFERROR(__xludf.DUMMYFUNCTION("IMPORTRANGE(""https://docs.google.com/spreadsheets/d/1SX6NBoVAgQJ6U1MVXOaj8PK2l7WJ3RER9xtqwdhxkhw/edit?usp=sharing"",""ตราด!I382"")"),0)</f>
        <v>0</v>
      </c>
      <c r="J487" s="420">
        <f ca="1">IFERROR(__xludf.DUMMYFUNCTION("IMPORTRANGE(""https://docs.google.com/spreadsheets/d/1SX6NBoVAgQJ6U1MVXOaj8PK2l7WJ3RER9xtqwdhxkhw/edit?usp=sharing"",""ตราด!J382"")"),0)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IFERROR(__xludf.DUMMYFUNCTION("IMPORTRANGE(""https://docs.google.com/spreadsheets/d/1SX6NBoVAgQJ6U1MVXOaj8PK2l7WJ3RER9xtqwdhxkhw/edit?usp=sharing"",""ตราด!I383"")"),0)</f>
        <v>0</v>
      </c>
      <c r="J488" s="420">
        <f ca="1">IFERROR(__xludf.DUMMYFUNCTION("IMPORTRANGE(""https://docs.google.com/spreadsheets/d/1SX6NBoVAgQJ6U1MVXOaj8PK2l7WJ3RER9xtqwdhxkhw/edit?usp=sharing"",""ตราด!J383"")"),0)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IFERROR(__xludf.DUMMYFUNCTION("IMPORTRANGE(""https://docs.google.com/spreadsheets/d/1SX6NBoVAgQJ6U1MVXOaj8PK2l7WJ3RER9xtqwdhxkhw/edit?usp=sharing"",""ตราด!I384"")"),0)</f>
        <v>0</v>
      </c>
      <c r="J489" s="189">
        <f ca="1">IFERROR(__xludf.DUMMYFUNCTION("IMPORTRANGE(""https://docs.google.com/spreadsheets/d/1SX6NBoVAgQJ6U1MVXOaj8PK2l7WJ3RER9xtqwdhxkhw/edit?usp=sharing"",""ตราด!J384"")"),0)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IFERROR(__xludf.DUMMYFUNCTION("IMPORTRANGE(""https://docs.google.com/spreadsheets/d/1SX6NBoVAgQJ6U1MVXOaj8PK2l7WJ3RER9xtqwdhxkhw/edit?usp=sharing"",""ตราด!I385"")"),0)</f>
        <v>0</v>
      </c>
      <c r="J490" s="189">
        <f ca="1">IFERROR(__xludf.DUMMYFUNCTION("IMPORTRANGE(""https://docs.google.com/spreadsheets/d/1SX6NBoVAgQJ6U1MVXOaj8PK2l7WJ3RER9xtqwdhxkhw/edit?usp=sharing"",""ตราด!J385"")"),0)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IFERROR(__xludf.DUMMYFUNCTION("IMPORTRANGE(""https://docs.google.com/spreadsheets/d/1SX6NBoVAgQJ6U1MVXOaj8PK2l7WJ3RER9xtqwdhxkhw/edit?usp=sharing"",""ตราด!I386"")"),0)</f>
        <v>0</v>
      </c>
      <c r="J491" s="189">
        <f ca="1">IFERROR(__xludf.DUMMYFUNCTION("IMPORTRANGE(""https://docs.google.com/spreadsheets/d/1SX6NBoVAgQJ6U1MVXOaj8PK2l7WJ3RER9xtqwdhxkhw/edit?usp=sharing"",""ตราด!J386"")"),0)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IFERROR(__xludf.DUMMYFUNCTION("IMPORTRANGE(""https://docs.google.com/spreadsheets/d/1SX6NBoVAgQJ6U1MVXOaj8PK2l7WJ3RER9xtqwdhxkhw/edit?usp=sharing"",""ตราด!I387"")"),0)</f>
        <v>0</v>
      </c>
      <c r="J492" s="189">
        <f ca="1">IFERROR(__xludf.DUMMYFUNCTION("IMPORTRANGE(""https://docs.google.com/spreadsheets/d/1SX6NBoVAgQJ6U1MVXOaj8PK2l7WJ3RER9xtqwdhxkhw/edit?usp=sharing"",""ตราด!J387"")"),0)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IFERROR(__xludf.DUMMYFUNCTION("IMPORTRANGE(""https://docs.google.com/spreadsheets/d/1SX6NBoVAgQJ6U1MVXOaj8PK2l7WJ3RER9xtqwdhxkhw/edit?usp=sharing"",""ตราด!I388"")"),0)</f>
        <v>0</v>
      </c>
      <c r="J493" s="189">
        <f ca="1">IFERROR(__xludf.DUMMYFUNCTION("IMPORTRANGE(""https://docs.google.com/spreadsheets/d/1SX6NBoVAgQJ6U1MVXOaj8PK2l7WJ3RER9xtqwdhxkhw/edit?usp=sharing"",""ตราด!J388"")"),0)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IFERROR(__xludf.DUMMYFUNCTION("IMPORTRANGE(""https://docs.google.com/spreadsheets/d/1SX6NBoVAgQJ6U1MVXOaj8PK2l7WJ3RER9xtqwdhxkhw/edit?usp=sharing"",""ตราด!I389"")"),0)</f>
        <v>0</v>
      </c>
      <c r="J494" s="436">
        <f ca="1">IFERROR(__xludf.DUMMYFUNCTION("IMPORTRANGE(""https://docs.google.com/spreadsheets/d/1SX6NBoVAgQJ6U1MVXOaj8PK2l7WJ3RER9xtqwdhxkhw/edit?usp=sharing"",""ตราด!J389"")"),0)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IFERROR(__xludf.DUMMYFUNCTION("IMPORTRANGE(""https://docs.google.com/spreadsheets/d/1SX6NBoVAgQJ6U1MVXOaj8PK2l7WJ3RER9xtqwdhxkhw/edit?usp=sharing"",""ตราด!I390"")"),0)</f>
        <v>0</v>
      </c>
      <c r="J495" s="436">
        <f ca="1">IFERROR(__xludf.DUMMYFUNCTION("IMPORTRANGE(""https://docs.google.com/spreadsheets/d/1SX6NBoVAgQJ6U1MVXOaj8PK2l7WJ3RER9xtqwdhxkhw/edit?usp=sharing"",""ตราด!J390"")"),0)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IFERROR(__xludf.DUMMYFUNCTION("IMPORTRANGE(""https://docs.google.com/spreadsheets/d/1SX6NBoVAgQJ6U1MVXOaj8PK2l7WJ3RER9xtqwdhxkhw/edit?usp=sharing"",""ตราด!I391"")"),0)</f>
        <v>0</v>
      </c>
      <c r="J496" s="436">
        <f ca="1">IFERROR(__xludf.DUMMYFUNCTION("IMPORTRANGE(""https://docs.google.com/spreadsheets/d/1SX6NBoVAgQJ6U1MVXOaj8PK2l7WJ3RER9xtqwdhxkhw/edit?usp=sharing"",""ตราด!J391"")"),0)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IFERROR(__xludf.DUMMYFUNCTION("IMPORTRANGE(""https://docs.google.com/spreadsheets/d/1SX6NBoVAgQJ6U1MVXOaj8PK2l7WJ3RER9xtqwdhxkhw/edit?usp=sharing"",""ตราด!I392"")"),1394)</f>
        <v>1394</v>
      </c>
      <c r="J497" s="443">
        <f ca="1">IFERROR(__xludf.DUMMYFUNCTION("IMPORTRANGE(""https://docs.google.com/spreadsheets/d/1SX6NBoVAgQJ6U1MVXOaj8PK2l7WJ3RER9xtqwdhxkhw/edit?usp=sharing"",""ตราด!J392"")"),688)</f>
        <v>688</v>
      </c>
      <c r="K497" s="444">
        <f t="shared" ca="1" si="117"/>
        <v>49.354375896700141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IFERROR(__xludf.DUMMYFUNCTION("IMPORTRANGE(""https://docs.google.com/spreadsheets/d/1SX6NBoVAgQJ6U1MVXOaj8PK2l7WJ3RER9xtqwdhxkhw/edit?usp=sharing"",""ตราด!I393"")"),1394)</f>
        <v>1394</v>
      </c>
      <c r="J498" s="420">
        <f ca="1">IFERROR(__xludf.DUMMYFUNCTION("IMPORTRANGE(""https://docs.google.com/spreadsheets/d/1SX6NBoVAgQJ6U1MVXOaj8PK2l7WJ3RER9xtqwdhxkhw/edit?usp=sharing"",""ตราด!J393"")"),688)</f>
        <v>688</v>
      </c>
      <c r="K498" s="202">
        <f t="shared" ca="1" si="117"/>
        <v>49.354375896700141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IFERROR(__xludf.DUMMYFUNCTION("IMPORTRANGE(""https://docs.google.com/spreadsheets/d/1SX6NBoVAgQJ6U1MVXOaj8PK2l7WJ3RER9xtqwdhxkhw/edit?usp=sharing"",""ตราด!I394"")"),89)</f>
        <v>89</v>
      </c>
      <c r="J499" s="420">
        <f ca="1">IFERROR(__xludf.DUMMYFUNCTION("IMPORTRANGE(""https://docs.google.com/spreadsheets/d/1SX6NBoVAgQJ6U1MVXOaj8PK2l7WJ3RER9xtqwdhxkhw/edit?usp=sharing"",""ตราด!J394"")"),46)</f>
        <v>46</v>
      </c>
      <c r="K499" s="202">
        <f t="shared" ca="1" si="117"/>
        <v>51.685393258426963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IFERROR(__xludf.DUMMYFUNCTION("IMPORTRANGE(""https://docs.google.com/spreadsheets/d/1SX6NBoVAgQJ6U1MVXOaj8PK2l7WJ3RER9xtqwdhxkhw/edit?usp=sharing"",""ตราด!I395"")"),0)</f>
        <v>0</v>
      </c>
      <c r="J500" s="162">
        <f ca="1">IFERROR(__xludf.DUMMYFUNCTION("IMPORTRANGE(""https://docs.google.com/spreadsheets/d/1SX6NBoVAgQJ6U1MVXOaj8PK2l7WJ3RER9xtqwdhxkhw/edit?usp=sharing"",""ตราด!J395"")"),688)</f>
        <v>688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IFERROR(__xludf.DUMMYFUNCTION("IMPORTRANGE(""https://docs.google.com/spreadsheets/d/1SX6NBoVAgQJ6U1MVXOaj8PK2l7WJ3RER9xtqwdhxkhw/edit?usp=sharing"",""ตราด!I396"")"),0)</f>
        <v>0</v>
      </c>
      <c r="J501" s="162">
        <f ca="1">IFERROR(__xludf.DUMMYFUNCTION("IMPORTRANGE(""https://docs.google.com/spreadsheets/d/1SX6NBoVAgQJ6U1MVXOaj8PK2l7WJ3RER9xtqwdhxkhw/edit?usp=sharing"",""ตราด!J396"")"),46)</f>
        <v>46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IFERROR(__xludf.DUMMYFUNCTION("IMPORTRANGE(""https://docs.google.com/spreadsheets/d/1SX6NBoVAgQJ6U1MVXOaj8PK2l7WJ3RER9xtqwdhxkhw/edit?usp=sharing"",""ตราด!I397"")"),0)</f>
        <v>0</v>
      </c>
      <c r="J502" s="189">
        <f ca="1">IFERROR(__xludf.DUMMYFUNCTION("IMPORTRANGE(""https://docs.google.com/spreadsheets/d/1SX6NBoVAgQJ6U1MVXOaj8PK2l7WJ3RER9xtqwdhxkhw/edit?usp=sharing"",""ตราด!J397"")"),688)</f>
        <v>688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IFERROR(__xludf.DUMMYFUNCTION("IMPORTRANGE(""https://docs.google.com/spreadsheets/d/1SX6NBoVAgQJ6U1MVXOaj8PK2l7WJ3RER9xtqwdhxkhw/edit?usp=sharing"",""ตราด!I398"")"),0)</f>
        <v>0</v>
      </c>
      <c r="J503" s="198">
        <f ca="1">IFERROR(__xludf.DUMMYFUNCTION("IMPORTRANGE(""https://docs.google.com/spreadsheets/d/1SX6NBoVAgQJ6U1MVXOaj8PK2l7WJ3RER9xtqwdhxkhw/edit?usp=sharing"",""ตราด!J398"")"),46)</f>
        <v>46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IFERROR(__xludf.DUMMYFUNCTION("IMPORTRANGE(""https://docs.google.com/spreadsheets/d/1SX6NBoVAgQJ6U1MVXOaj8PK2l7WJ3RER9xtqwdhxkhw/edit?usp=sharing"",""ตราด!I399"")"),0)</f>
        <v>0</v>
      </c>
      <c r="J504" s="189">
        <f ca="1">IFERROR(__xludf.DUMMYFUNCTION("IMPORTRANGE(""https://docs.google.com/spreadsheets/d/1SX6NBoVAgQJ6U1MVXOaj8PK2l7WJ3RER9xtqwdhxkhw/edit?usp=sharing"",""ตราด!J399"")"),0)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IFERROR(__xludf.DUMMYFUNCTION("IMPORTRANGE(""https://docs.google.com/spreadsheets/d/1SX6NBoVAgQJ6U1MVXOaj8PK2l7WJ3RER9xtqwdhxkhw/edit?usp=sharing"",""ตราด!I400"")"),0)</f>
        <v>0</v>
      </c>
      <c r="J505" s="198">
        <f ca="1">IFERROR(__xludf.DUMMYFUNCTION("IMPORTRANGE(""https://docs.google.com/spreadsheets/d/1SX6NBoVAgQJ6U1MVXOaj8PK2l7WJ3RER9xtqwdhxkhw/edit?usp=sharing"",""ตราด!J400"")"),0)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IFERROR(__xludf.DUMMYFUNCTION("IMPORTRANGE(""https://docs.google.com/spreadsheets/d/1SX6NBoVAgQJ6U1MVXOaj8PK2l7WJ3RER9xtqwdhxkhw/edit?usp=sharing"",""ตราด!I401"")"),0)</f>
        <v>0</v>
      </c>
      <c r="J506" s="189">
        <f ca="1">IFERROR(__xludf.DUMMYFUNCTION("IMPORTRANGE(""https://docs.google.com/spreadsheets/d/1SX6NBoVAgQJ6U1MVXOaj8PK2l7WJ3RER9xtqwdhxkhw/edit?usp=sharing"",""ตราด!J401"")"),0)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IFERROR(__xludf.DUMMYFUNCTION("IMPORTRANGE(""https://docs.google.com/spreadsheets/d/1SX6NBoVAgQJ6U1MVXOaj8PK2l7WJ3RER9xtqwdhxkhw/edit?usp=sharing"",""ตราด!I402"")"),0)</f>
        <v>0</v>
      </c>
      <c r="J507" s="198">
        <f ca="1">IFERROR(__xludf.DUMMYFUNCTION("IMPORTRANGE(""https://docs.google.com/spreadsheets/d/1SX6NBoVAgQJ6U1MVXOaj8PK2l7WJ3RER9xtqwdhxkhw/edit?usp=sharing"",""ตราด!J402"")"),0)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IFERROR(__xludf.DUMMYFUNCTION("IMPORTRANGE(""https://docs.google.com/spreadsheets/d/1SX6NBoVAgQJ6U1MVXOaj8PK2l7WJ3RER9xtqwdhxkhw/edit?usp=sharing"",""ตราด!I403"")"),0)</f>
        <v>0</v>
      </c>
      <c r="J508" s="162">
        <f ca="1">IFERROR(__xludf.DUMMYFUNCTION("IMPORTRANGE(""https://docs.google.com/spreadsheets/d/1SX6NBoVAgQJ6U1MVXOaj8PK2l7WJ3RER9xtqwdhxkhw/edit?usp=sharing"",""ตราด!J403"")"),0)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IFERROR(__xludf.DUMMYFUNCTION("IMPORTRANGE(""https://docs.google.com/spreadsheets/d/1SX6NBoVAgQJ6U1MVXOaj8PK2l7WJ3RER9xtqwdhxkhw/edit?usp=sharing"",""ตราด!I404"")"),0)</f>
        <v>0</v>
      </c>
      <c r="J509" s="162">
        <f ca="1">IFERROR(__xludf.DUMMYFUNCTION("IMPORTRANGE(""https://docs.google.com/spreadsheets/d/1SX6NBoVAgQJ6U1MVXOaj8PK2l7WJ3RER9xtqwdhxkhw/edit?usp=sharing"",""ตราด!J404"")"),0)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IFERROR(__xludf.DUMMYFUNCTION("IMPORTRANGE(""https://docs.google.com/spreadsheets/d/1SX6NBoVAgQJ6U1MVXOaj8PK2l7WJ3RER9xtqwdhxkhw/edit?usp=sharing"",""ตราด!I405"")"),0)</f>
        <v>0</v>
      </c>
      <c r="J510" s="198">
        <f ca="1">IFERROR(__xludf.DUMMYFUNCTION("IMPORTRANGE(""https://docs.google.com/spreadsheets/d/1SX6NBoVAgQJ6U1MVXOaj8PK2l7WJ3RER9xtqwdhxkhw/edit?usp=sharing"",""ตราด!J405"")"),0)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IFERROR(__xludf.DUMMYFUNCTION("IMPORTRANGE(""https://docs.google.com/spreadsheets/d/1SX6NBoVAgQJ6U1MVXOaj8PK2l7WJ3RER9xtqwdhxkhw/edit?usp=sharing"",""ตราด!I406"")"),0)</f>
        <v>0</v>
      </c>
      <c r="J511" s="198">
        <f ca="1">IFERROR(__xludf.DUMMYFUNCTION("IMPORTRANGE(""https://docs.google.com/spreadsheets/d/1SX6NBoVAgQJ6U1MVXOaj8PK2l7WJ3RER9xtqwdhxkhw/edit?usp=sharing"",""ตราด!J406"")"),0)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IFERROR(__xludf.DUMMYFUNCTION("IMPORTRANGE(""https://docs.google.com/spreadsheets/d/1SX6NBoVAgQJ6U1MVXOaj8PK2l7WJ3RER9xtqwdhxkhw/edit?usp=sharing"",""ตราด!I407"")"),0)</f>
        <v>0</v>
      </c>
      <c r="J512" s="198">
        <f ca="1">IFERROR(__xludf.DUMMYFUNCTION("IMPORTRANGE(""https://docs.google.com/spreadsheets/d/1SX6NBoVAgQJ6U1MVXOaj8PK2l7WJ3RER9xtqwdhxkhw/edit?usp=sharing"",""ตราด!J407"")"),0)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IFERROR(__xludf.DUMMYFUNCTION("IMPORTRANGE(""https://docs.google.com/spreadsheets/d/1SX6NBoVAgQJ6U1MVXOaj8PK2l7WJ3RER9xtqwdhxkhw/edit?usp=sharing"",""ตราด!I408"")"),0)</f>
        <v>0</v>
      </c>
      <c r="J513" s="198">
        <f ca="1">IFERROR(__xludf.DUMMYFUNCTION("IMPORTRANGE(""https://docs.google.com/spreadsheets/d/1SX6NBoVAgQJ6U1MVXOaj8PK2l7WJ3RER9xtqwdhxkhw/edit?usp=sharing"",""ตราด!J408"")"),0)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IFERROR(__xludf.DUMMYFUNCTION("IMPORTRANGE(""https://docs.google.com/spreadsheets/d/1SX6NBoVAgQJ6U1MVXOaj8PK2l7WJ3RER9xtqwdhxkhw/edit?usp=sharing"",""ตราด!I409"")"),0)</f>
        <v>0</v>
      </c>
      <c r="J514" s="198">
        <f ca="1">IFERROR(__xludf.DUMMYFUNCTION("IMPORTRANGE(""https://docs.google.com/spreadsheets/d/1SX6NBoVAgQJ6U1MVXOaj8PK2l7WJ3RER9xtqwdhxkhw/edit?usp=sharing"",""ตราด!J409"")"),0)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IFERROR(__xludf.DUMMYFUNCTION("IMPORTRANGE(""https://docs.google.com/spreadsheets/d/1SX6NBoVAgQJ6U1MVXOaj8PK2l7WJ3RER9xtqwdhxkhw/edit?usp=sharing"",""ตราด!I410"")"),0)</f>
        <v>0</v>
      </c>
      <c r="J515" s="198">
        <f ca="1">IFERROR(__xludf.DUMMYFUNCTION("IMPORTRANGE(""https://docs.google.com/spreadsheets/d/1SX6NBoVAgQJ6U1MVXOaj8PK2l7WJ3RER9xtqwdhxkhw/edit?usp=sharing"",""ตราด!J410"")"),0)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IFERROR(__xludf.DUMMYFUNCTION("IMPORTRANGE(""https://docs.google.com/spreadsheets/d/1SX6NBoVAgQJ6U1MVXOaj8PK2l7WJ3RER9xtqwdhxkhw/edit?usp=sharing"",""ตราด!I411"")"),0)</f>
        <v>0</v>
      </c>
      <c r="J516" s="268">
        <f ca="1">IFERROR(__xludf.DUMMYFUNCTION("IMPORTRANGE(""https://docs.google.com/spreadsheets/d/1SX6NBoVAgQJ6U1MVXOaj8PK2l7WJ3RER9xtqwdhxkhw/edit?usp=sharing"",""ตราด!J411"")"),0)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IFERROR(__xludf.DUMMYFUNCTION("IMPORTRANGE(""https://docs.google.com/spreadsheets/d/1SX6NBoVAgQJ6U1MVXOaj8PK2l7WJ3RER9xtqwdhxkhw/edit?usp=sharing"",""ตราด!I412"")"),0)</f>
        <v>0</v>
      </c>
      <c r="J517" s="285">
        <f ca="1">IFERROR(__xludf.DUMMYFUNCTION("IMPORTRANGE(""https://docs.google.com/spreadsheets/d/1SX6NBoVAgQJ6U1MVXOaj8PK2l7WJ3RER9xtqwdhxkhw/edit?usp=sharing"",""ตราด!J412"")"),0)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IFERROR(__xludf.DUMMYFUNCTION("IMPORTRANGE(""https://docs.google.com/spreadsheets/d/1SX6NBoVAgQJ6U1MVXOaj8PK2l7WJ3RER9xtqwdhxkhw/edit?usp=sharing"",""ตราด!I413"")"),0)</f>
        <v>0</v>
      </c>
      <c r="J518" s="285">
        <f ca="1">IFERROR(__xludf.DUMMYFUNCTION("IMPORTRANGE(""https://docs.google.com/spreadsheets/d/1SX6NBoVAgQJ6U1MVXOaj8PK2l7WJ3RER9xtqwdhxkhw/edit?usp=sharing"",""ตราด!J413"")"),0)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IFERROR(__xludf.DUMMYFUNCTION("IMPORTRANGE(""https://docs.google.com/spreadsheets/d/1SX6NBoVAgQJ6U1MVXOaj8PK2l7WJ3RER9xtqwdhxkhw/edit?usp=sharing"",""ตราด!I414"")"),0)</f>
        <v>0</v>
      </c>
      <c r="J519" s="188">
        <f ca="1">IFERROR(__xludf.DUMMYFUNCTION("IMPORTRANGE(""https://docs.google.com/spreadsheets/d/1SX6NBoVAgQJ6U1MVXOaj8PK2l7WJ3RER9xtqwdhxkhw/edit?usp=sharing"",""ตราด!J414"")"),0)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IFERROR(__xludf.DUMMYFUNCTION("IMPORTRANGE(""https://docs.google.com/spreadsheets/d/1SX6NBoVAgQJ6U1MVXOaj8PK2l7WJ3RER9xtqwdhxkhw/edit?usp=sharing"",""ตราด!I415"")"),0)</f>
        <v>0</v>
      </c>
      <c r="J520" s="188">
        <f ca="1">IFERROR(__xludf.DUMMYFUNCTION("IMPORTRANGE(""https://docs.google.com/spreadsheets/d/1SX6NBoVAgQJ6U1MVXOaj8PK2l7WJ3RER9xtqwdhxkhw/edit?usp=sharing"",""ตราด!J415"")"),0)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IFERROR(__xludf.DUMMYFUNCTION("IMPORTRANGE(""https://docs.google.com/spreadsheets/d/1SX6NBoVAgQJ6U1MVXOaj8PK2l7WJ3RER9xtqwdhxkhw/edit?usp=sharing"",""ตราด!I416"")"),0)</f>
        <v>0</v>
      </c>
      <c r="J521" s="188">
        <f ca="1">IFERROR(__xludf.DUMMYFUNCTION("IMPORTRANGE(""https://docs.google.com/spreadsheets/d/1SX6NBoVAgQJ6U1MVXOaj8PK2l7WJ3RER9xtqwdhxkhw/edit?usp=sharing"",""ตราด!J416"")"),0)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IFERROR(__xludf.DUMMYFUNCTION("IMPORTRANGE(""https://docs.google.com/spreadsheets/d/1SX6NBoVAgQJ6U1MVXOaj8PK2l7WJ3RER9xtqwdhxkhw/edit?usp=sharing"",""ตราด!I417"")"),0)</f>
        <v>0</v>
      </c>
      <c r="J522" s="188">
        <f ca="1">IFERROR(__xludf.DUMMYFUNCTION("IMPORTRANGE(""https://docs.google.com/spreadsheets/d/1SX6NBoVAgQJ6U1MVXOaj8PK2l7WJ3RER9xtqwdhxkhw/edit?usp=sharing"",""ตราด!J417"")"),0)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IFERROR(__xludf.DUMMYFUNCTION("IMPORTRANGE(""https://docs.google.com/spreadsheets/d/1SX6NBoVAgQJ6U1MVXOaj8PK2l7WJ3RER9xtqwdhxkhw/edit?usp=sharing"",""ตราด!I418"")"),0)</f>
        <v>0</v>
      </c>
      <c r="J523" s="188">
        <f ca="1">IFERROR(__xludf.DUMMYFUNCTION("IMPORTRANGE(""https://docs.google.com/spreadsheets/d/1SX6NBoVAgQJ6U1MVXOaj8PK2l7WJ3RER9xtqwdhxkhw/edit?usp=sharing"",""ตราด!J418"")"),0)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IFERROR(__xludf.DUMMYFUNCTION("IMPORTRANGE(""https://docs.google.com/spreadsheets/d/1SX6NBoVAgQJ6U1MVXOaj8PK2l7WJ3RER9xtqwdhxkhw/edit?usp=sharing"",""ตราด!I419"")"),0)</f>
        <v>0</v>
      </c>
      <c r="J524" s="188">
        <f ca="1">IFERROR(__xludf.DUMMYFUNCTION("IMPORTRANGE(""https://docs.google.com/spreadsheets/d/1SX6NBoVAgQJ6U1MVXOaj8PK2l7WJ3RER9xtqwdhxkhw/edit?usp=sharing"",""ตราด!J419"")"),0)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IFERROR(__xludf.DUMMYFUNCTION("IMPORTRANGE(""https://docs.google.com/spreadsheets/d/1SX6NBoVAgQJ6U1MVXOaj8PK2l7WJ3RER9xtqwdhxkhw/edit?usp=sharing"",""ตราด!I420"")"),0)</f>
        <v>0</v>
      </c>
      <c r="J525" s="285">
        <f ca="1">IFERROR(__xludf.DUMMYFUNCTION("IMPORTRANGE(""https://docs.google.com/spreadsheets/d/1SX6NBoVAgQJ6U1MVXOaj8PK2l7WJ3RER9xtqwdhxkhw/edit?usp=sharing"",""ตราด!J420"")"),0)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IFERROR(__xludf.DUMMYFUNCTION("IMPORTRANGE(""https://docs.google.com/spreadsheets/d/1SX6NBoVAgQJ6U1MVXOaj8PK2l7WJ3RER9xtqwdhxkhw/edit?usp=sharing"",""ตราด!I421"")"),0)</f>
        <v>0</v>
      </c>
      <c r="J526" s="285">
        <f ca="1">IFERROR(__xludf.DUMMYFUNCTION("IMPORTRANGE(""https://docs.google.com/spreadsheets/d/1SX6NBoVAgQJ6U1MVXOaj8PK2l7WJ3RER9xtqwdhxkhw/edit?usp=sharing"",""ตราด!J421"")"),0)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IFERROR(__xludf.DUMMYFUNCTION("IMPORTRANGE(""https://docs.google.com/spreadsheets/d/1SX6NBoVAgQJ6U1MVXOaj8PK2l7WJ3RER9xtqwdhxkhw/edit?usp=sharing"",""ตราด!I422"")"),0)</f>
        <v>0</v>
      </c>
      <c r="J527" s="198">
        <f ca="1">IFERROR(__xludf.DUMMYFUNCTION("IMPORTRANGE(""https://docs.google.com/spreadsheets/d/1SX6NBoVAgQJ6U1MVXOaj8PK2l7WJ3RER9xtqwdhxkhw/edit?usp=sharing"",""ตราด!J422"")"),0)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IFERROR(__xludf.DUMMYFUNCTION("IMPORTRANGE(""https://docs.google.com/spreadsheets/d/1SX6NBoVAgQJ6U1MVXOaj8PK2l7WJ3RER9xtqwdhxkhw/edit?usp=sharing"",""ตราด!I423"")"),0)</f>
        <v>0</v>
      </c>
      <c r="J528" s="198">
        <f ca="1">IFERROR(__xludf.DUMMYFUNCTION("IMPORTRANGE(""https://docs.google.com/spreadsheets/d/1SX6NBoVAgQJ6U1MVXOaj8PK2l7WJ3RER9xtqwdhxkhw/edit?usp=sharing"",""ตราด!J423"")"),0)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IFERROR(__xludf.DUMMYFUNCTION("IMPORTRANGE(""https://docs.google.com/spreadsheets/d/1SX6NBoVAgQJ6U1MVXOaj8PK2l7WJ3RER9xtqwdhxkhw/edit?usp=sharing"",""ตราด!I424"")"),0)</f>
        <v>0</v>
      </c>
      <c r="J529" s="198">
        <f ca="1">IFERROR(__xludf.DUMMYFUNCTION("IMPORTRANGE(""https://docs.google.com/spreadsheets/d/1SX6NBoVAgQJ6U1MVXOaj8PK2l7WJ3RER9xtqwdhxkhw/edit?usp=sharing"",""ตราด!J424"")"),0)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IFERROR(__xludf.DUMMYFUNCTION("IMPORTRANGE(""https://docs.google.com/spreadsheets/d/1SX6NBoVAgQJ6U1MVXOaj8PK2l7WJ3RER9xtqwdhxkhw/edit?usp=sharing"",""ตราด!I425"")"),0)</f>
        <v>0</v>
      </c>
      <c r="J530" s="198">
        <f ca="1">IFERROR(__xludf.DUMMYFUNCTION("IMPORTRANGE(""https://docs.google.com/spreadsheets/d/1SX6NBoVAgQJ6U1MVXOaj8PK2l7WJ3RER9xtqwdhxkhw/edit?usp=sharing"",""ตราด!J425"")"),0)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IFERROR(__xludf.DUMMYFUNCTION("IMPORTRANGE(""https://docs.google.com/spreadsheets/d/1SX6NBoVAgQJ6U1MVXOaj8PK2l7WJ3RER9xtqwdhxkhw/edit?usp=sharing"",""ตราด!I426"")"),0)</f>
        <v>0</v>
      </c>
      <c r="J531" s="198">
        <f ca="1">IFERROR(__xludf.DUMMYFUNCTION("IMPORTRANGE(""https://docs.google.com/spreadsheets/d/1SX6NBoVAgQJ6U1MVXOaj8PK2l7WJ3RER9xtqwdhxkhw/edit?usp=sharing"",""ตราด!J426"")"),0)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IFERROR(__xludf.DUMMYFUNCTION("IMPORTRANGE(""https://docs.google.com/spreadsheets/d/1SX6NBoVAgQJ6U1MVXOaj8PK2l7WJ3RER9xtqwdhxkhw/edit?usp=sharing"",""ตราด!I427"")"),0)</f>
        <v>0</v>
      </c>
      <c r="J532" s="466">
        <f ca="1">IFERROR(__xludf.DUMMYFUNCTION("IMPORTRANGE(""https://docs.google.com/spreadsheets/d/1SX6NBoVAgQJ6U1MVXOaj8PK2l7WJ3RER9xtqwdhxkhw/edit?usp=sharing"",""ตราด!J427"")"),0)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IFERROR(__xludf.DUMMYFUNCTION("IMPORTRANGE(""https://docs.google.com/spreadsheets/d/1SX6NBoVAgQJ6U1MVXOaj8PK2l7WJ3RER9xtqwdhxkhw/edit?usp=sharing"",""ตราด!I428"")"),22)</f>
        <v>22</v>
      </c>
      <c r="J533" s="410">
        <f ca="1">IFERROR(__xludf.DUMMYFUNCTION("IMPORTRANGE(""https://docs.google.com/spreadsheets/d/1SX6NBoVAgQJ6U1MVXOaj8PK2l7WJ3RER9xtqwdhxkhw/edit?usp=sharing"",""ตราด!J428"")"),22)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IFERROR(__xludf.DUMMYFUNCTION("IMPORTRANGE(""https://docs.google.com/spreadsheets/d/1SX6NBoVAgQJ6U1MVXOaj8PK2l7WJ3RER9xtqwdhxkhw/edit?usp=sharing"",""ตราด!L428"")"),34340)</f>
        <v>34340</v>
      </c>
      <c r="M533" s="412"/>
      <c r="N533" s="412">
        <f ca="1">IFERROR(__xludf.DUMMYFUNCTION("IMPORTRANGE(""https://docs.google.com/spreadsheets/d/1SX6NBoVAgQJ6U1MVXOaj8PK2l7WJ3RER9xtqwdhxkhw/edit?usp=sharing"",""ตราด!M428"")"),24385)</f>
        <v>24385</v>
      </c>
      <c r="O533" s="412">
        <f t="shared" ref="O533:O537" ca="1" si="118">+IF(L533&gt;0,N533*100/L533,0)</f>
        <v>71.010483401281306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IFERROR(__xludf.DUMMYFUNCTION("IMPORTRANGE(""https://docs.google.com/spreadsheets/d/1SX6NBoVAgQJ6U1MVXOaj8PK2l7WJ3RER9xtqwdhxkhw/edit?usp=sharing"",""ตราด!L429"")"),0)</f>
        <v>0</v>
      </c>
      <c r="M534" s="164"/>
      <c r="N534" s="169">
        <f ca="1">IFERROR(__xludf.DUMMYFUNCTION("IMPORTRANGE(""https://docs.google.com/spreadsheets/d/1SX6NBoVAgQJ6U1MVXOaj8PK2l7WJ3RER9xtqwdhxkhw/edit?usp=sharing"",""ตราด!M429"")"),0)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IFERROR(__xludf.DUMMYFUNCTION("IMPORTRANGE(""https://docs.google.com/spreadsheets/d/1SX6NBoVAgQJ6U1MVXOaj8PK2l7WJ3RER9xtqwdhxkhw/edit?usp=sharing"",""ตราด!L430"")"),34340)</f>
        <v>34340</v>
      </c>
      <c r="M535" s="165"/>
      <c r="N535" s="169">
        <f ca="1">IFERROR(__xludf.DUMMYFUNCTION("IMPORTRANGE(""https://docs.google.com/spreadsheets/d/1SX6NBoVAgQJ6U1MVXOaj8PK2l7WJ3RER9xtqwdhxkhw/edit?usp=sharing"",""ตราด!M430"")"),24385)</f>
        <v>24385</v>
      </c>
      <c r="O535" s="169">
        <f t="shared" ca="1" si="118"/>
        <v>71.010483401281306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IFERROR(__xludf.DUMMYFUNCTION("IMPORTRANGE(""https://docs.google.com/spreadsheets/d/1SX6NBoVAgQJ6U1MVXOaj8PK2l7WJ3RER9xtqwdhxkhw/edit?usp=sharing"",""ตราด!L431"")"),0)</f>
        <v>0</v>
      </c>
      <c r="M536" s="169"/>
      <c r="N536" s="169">
        <f ca="1">IFERROR(__xludf.DUMMYFUNCTION("IMPORTRANGE(""https://docs.google.com/spreadsheets/d/1SX6NBoVAgQJ6U1MVXOaj8PK2l7WJ3RER9xtqwdhxkhw/edit?usp=sharing"",""ตราด!M431"")"),0)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IFERROR(__xludf.DUMMYFUNCTION("IMPORTRANGE(""https://docs.google.com/spreadsheets/d/1SX6NBoVAgQJ6U1MVXOaj8PK2l7WJ3RER9xtqwdhxkhw/edit?usp=sharing"",""ตราด!L432"")"),34340)</f>
        <v>34340</v>
      </c>
      <c r="M537" s="169"/>
      <c r="N537" s="169">
        <f ca="1">IFERROR(__xludf.DUMMYFUNCTION("IMPORTRANGE(""https://docs.google.com/spreadsheets/d/1SX6NBoVAgQJ6U1MVXOaj8PK2l7WJ3RER9xtqwdhxkhw/edit?usp=sharing"",""ตราด!M432"")"),24385)</f>
        <v>24385</v>
      </c>
      <c r="O537" s="169">
        <f t="shared" ca="1" si="118"/>
        <v>71.010483401281306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IFERROR(__xludf.DUMMYFUNCTION("IMPORTRANGE(""https://docs.google.com/spreadsheets/d/1SX6NBoVAgQJ6U1MVXOaj8PK2l7WJ3RER9xtqwdhxkhw/edit?usp=sharing"",""ตราด!M433"")"),16828)</f>
        <v>16828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IFERROR(__xludf.DUMMYFUNCTION("IMPORTRANGE(""https://docs.google.com/spreadsheets/d/1SX6NBoVAgQJ6U1MVXOaj8PK2l7WJ3RER9xtqwdhxkhw/edit?usp=sharing"",""ตราด!M434"")"),0)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IFERROR(__xludf.DUMMYFUNCTION("IMPORTRANGE(""https://docs.google.com/spreadsheets/d/1SX6NBoVAgQJ6U1MVXOaj8PK2l7WJ3RER9xtqwdhxkhw/edit?usp=sharing"",""ตราด!M435"")"),0)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IFERROR(__xludf.DUMMYFUNCTION("IMPORTRANGE(""https://docs.google.com/spreadsheets/d/1SX6NBoVAgQJ6U1MVXOaj8PK2l7WJ3RER9xtqwdhxkhw/edit?usp=sharing"",""ตราด!M436"")"),7557)</f>
        <v>7557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IFERROR(__xludf.DUMMYFUNCTION("IMPORTRANGE(""https://docs.google.com/spreadsheets/d/1SX6NBoVAgQJ6U1MVXOaj8PK2l7WJ3RER9xtqwdhxkhw/edit?usp=sharing"",""ตราด!J438"")"),0)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IFERROR(__xludf.DUMMYFUNCTION("IMPORTRANGE(""https://docs.google.com/spreadsheets/d/1SX6NBoVAgQJ6U1MVXOaj8PK2l7WJ3RER9xtqwdhxkhw/edit?usp=sharing"",""ตราด!J439"")"),1)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IFERROR(__xludf.DUMMYFUNCTION("IMPORTRANGE(""https://docs.google.com/spreadsheets/d/1SX6NBoVAgQJ6U1MVXOaj8PK2l7WJ3RER9xtqwdhxkhw/edit?usp=sharing"",""ตราด!J440"")"),1)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IFERROR(__xludf.DUMMYFUNCTION("IMPORTRANGE(""https://docs.google.com/spreadsheets/d/1SX6NBoVAgQJ6U1MVXOaj8PK2l7WJ3RER9xtqwdhxkhw/edit?usp=sharing"",""ตราด!J441"")"),1)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IFERROR(__xludf.DUMMYFUNCTION("IMPORTRANGE(""https://docs.google.com/spreadsheets/d/1SX6NBoVAgQJ6U1MVXOaj8PK2l7WJ3RER9xtqwdhxkhw/edit?usp=sharing"",""ตราด!I442"")"),22)</f>
        <v>22</v>
      </c>
      <c r="J547" s="189">
        <f ca="1">IFERROR(__xludf.DUMMYFUNCTION("IMPORTRANGE(""https://docs.google.com/spreadsheets/d/1SX6NBoVAgQJ6U1MVXOaj8PK2l7WJ3RER9xtqwdhxkhw/edit?usp=sharing"",""ตราด!J442"")"),22)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IFERROR(__xludf.DUMMYFUNCTION("IMPORTRANGE(""https://docs.google.com/spreadsheets/d/1SX6NBoVAgQJ6U1MVXOaj8PK2l7WJ3RER9xtqwdhxkhw/edit?usp=sharing"",""ตราด!J166"")"),0)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IFERROR(__xludf.DUMMYFUNCTION("IMPORTRANGE(""https://docs.google.com/spreadsheets/d/1SX6NBoVAgQJ6U1MVXOaj8PK2l7WJ3RER9xtqwdhxkhw/edit?usp=sharing"",""ตราด!J444"")"),0)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IFERROR(__xludf.DUMMYFUNCTION("IMPORTRANGE(""https://docs.google.com/spreadsheets/d/1SX6NBoVAgQJ6U1MVXOaj8PK2l7WJ3RER9xtqwdhxkhw/edit?usp=sharing"",""ตราด!J445"")"),0)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IFERROR(__xludf.DUMMYFUNCTION("IMPORTRANGE(""https://docs.google.com/spreadsheets/d/1SX6NBoVAgQJ6U1MVXOaj8PK2l7WJ3RER9xtqwdhxkhw/edit?usp=sharing"",""ตราด!I446"")"),0)</f>
        <v>0</v>
      </c>
      <c r="J551" s="410">
        <f ca="1">IFERROR(__xludf.DUMMYFUNCTION("IMPORTRANGE(""https://docs.google.com/spreadsheets/d/1SX6NBoVAgQJ6U1MVXOaj8PK2l7WJ3RER9xtqwdhxkhw/edit?usp=sharing"",""ตราด!J446"")"),0)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IFERROR(__xludf.DUMMYFUNCTION("IMPORTRANGE(""https://docs.google.com/spreadsheets/d/1SX6NBoVAgQJ6U1MVXOaj8PK2l7WJ3RER9xtqwdhxkhw/edit?usp=sharing"",""ตราด!L446"")"),0)</f>
        <v>0</v>
      </c>
      <c r="M551" s="412"/>
      <c r="N551" s="412">
        <f ca="1">IFERROR(__xludf.DUMMYFUNCTION("IMPORTRANGE(""https://docs.google.com/spreadsheets/d/1SX6NBoVAgQJ6U1MVXOaj8PK2l7WJ3RER9xtqwdhxkhw/edit?usp=sharing"",""ตราด!M446"")"),0)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IFERROR(__xludf.DUMMYFUNCTION("IMPORTRANGE(""https://docs.google.com/spreadsheets/d/1SX6NBoVAgQJ6U1MVXOaj8PK2l7WJ3RER9xtqwdhxkhw/edit?usp=sharing"",""ตราด!L447"")"),0)</f>
        <v>0</v>
      </c>
      <c r="M552" s="164"/>
      <c r="N552" s="169">
        <f ca="1">IFERROR(__xludf.DUMMYFUNCTION("IMPORTRANGE(""https://docs.google.com/spreadsheets/d/1SX6NBoVAgQJ6U1MVXOaj8PK2l7WJ3RER9xtqwdhxkhw/edit?usp=sharing"",""ตราด!M447"")"),0)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IFERROR(__xludf.DUMMYFUNCTION("IMPORTRANGE(""https://docs.google.com/spreadsheets/d/1SX6NBoVAgQJ6U1MVXOaj8PK2l7WJ3RER9xtqwdhxkhw/edit?usp=sharing"",""ตราด!L448"")"),0)</f>
        <v>0</v>
      </c>
      <c r="M553" s="165"/>
      <c r="N553" s="169">
        <f ca="1">IFERROR(__xludf.DUMMYFUNCTION("IMPORTRANGE(""https://docs.google.com/spreadsheets/d/1SX6NBoVAgQJ6U1MVXOaj8PK2l7WJ3RER9xtqwdhxkhw/edit?usp=sharing"",""ตราด!M448"")"),0)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IFERROR(__xludf.DUMMYFUNCTION("IMPORTRANGE(""https://docs.google.com/spreadsheets/d/1SX6NBoVAgQJ6U1MVXOaj8PK2l7WJ3RER9xtqwdhxkhw/edit?usp=sharing"",""ตราด!L449"")"),0)</f>
        <v>0</v>
      </c>
      <c r="M554" s="169"/>
      <c r="N554" s="169">
        <f ca="1">IFERROR(__xludf.DUMMYFUNCTION("IMPORTRANGE(""https://docs.google.com/spreadsheets/d/1SX6NBoVAgQJ6U1MVXOaj8PK2l7WJ3RER9xtqwdhxkhw/edit?usp=sharing"",""ตราด!M449"")"),0)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IFERROR(__xludf.DUMMYFUNCTION("IMPORTRANGE(""https://docs.google.com/spreadsheets/d/1SX6NBoVAgQJ6U1MVXOaj8PK2l7WJ3RER9xtqwdhxkhw/edit?usp=sharing"",""ตราด!L450"")"),0)</f>
        <v>0</v>
      </c>
      <c r="M555" s="169"/>
      <c r="N555" s="169">
        <f ca="1">IFERROR(__xludf.DUMMYFUNCTION("IMPORTRANGE(""https://docs.google.com/spreadsheets/d/1SX6NBoVAgQJ6U1MVXOaj8PK2l7WJ3RER9xtqwdhxkhw/edit?usp=sharing"",""ตราด!M450"")"),0)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IFERROR(__xludf.DUMMYFUNCTION("IMPORTRANGE(""https://docs.google.com/spreadsheets/d/1SX6NBoVAgQJ6U1MVXOaj8PK2l7WJ3RER9xtqwdhxkhw/edit?usp=sharing"",""ตราด!M451"")"),0)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IFERROR(__xludf.DUMMYFUNCTION("IMPORTRANGE(""https://docs.google.com/spreadsheets/d/1SX6NBoVAgQJ6U1MVXOaj8PK2l7WJ3RER9xtqwdhxkhw/edit?usp=sharing"",""ตราด!M452"")"),0)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IFERROR(__xludf.DUMMYFUNCTION("IMPORTRANGE(""https://docs.google.com/spreadsheets/d/1SX6NBoVAgQJ6U1MVXOaj8PK2l7WJ3RER9xtqwdhxkhw/edit?usp=sharing"",""ตราด!M453"")"),0)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IFERROR(__xludf.DUMMYFUNCTION("IMPORTRANGE(""https://docs.google.com/spreadsheets/d/1SX6NBoVAgQJ6U1MVXOaj8PK2l7WJ3RER9xtqwdhxkhw/edit?usp=sharing"",""ตราด!M454"")"),0)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IFERROR(__xludf.DUMMYFUNCTION("IMPORTRANGE(""https://docs.google.com/spreadsheets/d/1SX6NBoVAgQJ6U1MVXOaj8PK2l7WJ3RER9xtqwdhxkhw/edit?usp=sharing"",""ตราด!I455"")"),0)</f>
        <v>0</v>
      </c>
      <c r="J560" s="162">
        <f ca="1">IFERROR(__xludf.DUMMYFUNCTION("IMPORTRANGE(""https://docs.google.com/spreadsheets/d/1SX6NBoVAgQJ6U1MVXOaj8PK2l7WJ3RER9xtqwdhxkhw/edit?usp=sharing"",""ตราด!J455"")"),0)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IFERROR(__xludf.DUMMYFUNCTION("IMPORTRANGE(""https://docs.google.com/spreadsheets/d/1SX6NBoVAgQJ6U1MVXOaj8PK2l7WJ3RER9xtqwdhxkhw/edit?usp=sharing"",""ตราด!I456"")"),0)</f>
        <v>0</v>
      </c>
      <c r="J561" s="204">
        <f ca="1">IFERROR(__xludf.DUMMYFUNCTION("IMPORTRANGE(""https://docs.google.com/spreadsheets/d/1SX6NBoVAgQJ6U1MVXOaj8PK2l7WJ3RER9xtqwdhxkhw/edit?usp=sharing"",""ตราด!J456"")"),0)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IFERROR(__xludf.DUMMYFUNCTION("IMPORTRANGE(""https://docs.google.com/spreadsheets/d/1SX6NBoVAgQJ6U1MVXOaj8PK2l7WJ3RER9xtqwdhxkhw/edit?usp=sharing"",""ตราด!I459"")"),700)</f>
        <v>700</v>
      </c>
      <c r="J564" s="371">
        <f ca="1">IFERROR(__xludf.DUMMYFUNCTION("IMPORTRANGE(""https://docs.google.com/spreadsheets/d/1SX6NBoVAgQJ6U1MVXOaj8PK2l7WJ3RER9xtqwdhxkhw/edit?usp=sharing"",""ตราด!J459"")"),1219)</f>
        <v>1219</v>
      </c>
      <c r="K564" s="372">
        <f ca="1">IF(I564&gt;0,J564*100/I564,0)</f>
        <v>174.14285714285714</v>
      </c>
      <c r="L564" s="373">
        <f ca="1">IFERROR(__xludf.DUMMYFUNCTION("IMPORTRANGE(""https://docs.google.com/spreadsheets/d/1SX6NBoVAgQJ6U1MVXOaj8PK2l7WJ3RER9xtqwdhxkhw/edit?usp=sharing"",""ตราด!L459"")"),120720)</f>
        <v>120720</v>
      </c>
      <c r="M564" s="373"/>
      <c r="N564" s="373">
        <f ca="1">IFERROR(__xludf.DUMMYFUNCTION("IMPORTRANGE(""https://docs.google.com/spreadsheets/d/1SX6NBoVAgQJ6U1MVXOaj8PK2l7WJ3RER9xtqwdhxkhw/edit?usp=sharing"",""ตราด!M459"")"),75155)</f>
        <v>75155</v>
      </c>
      <c r="O564" s="373">
        <f t="shared" ref="O564:O568" ca="1" si="122">+IF(L564&gt;0,N564*100/L564,0)</f>
        <v>62.255632869449968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IFERROR(__xludf.DUMMYFUNCTION("IMPORTRANGE(""https://docs.google.com/spreadsheets/d/1SX6NBoVAgQJ6U1MVXOaj8PK2l7WJ3RER9xtqwdhxkhw/edit?usp=sharing"",""ตราด!L460"")"),0)</f>
        <v>0</v>
      </c>
      <c r="M565" s="164"/>
      <c r="N565" s="169">
        <f ca="1">IFERROR(__xludf.DUMMYFUNCTION("IMPORTRANGE(""https://docs.google.com/spreadsheets/d/1SX6NBoVAgQJ6U1MVXOaj8PK2l7WJ3RER9xtqwdhxkhw/edit?usp=sharing"",""ตราด!M460"")"),0)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IFERROR(__xludf.DUMMYFUNCTION("IMPORTRANGE(""https://docs.google.com/spreadsheets/d/1SX6NBoVAgQJ6U1MVXOaj8PK2l7WJ3RER9xtqwdhxkhw/edit?usp=sharing"",""ตราด!L461"")"),120720)</f>
        <v>120720</v>
      </c>
      <c r="M566" s="165"/>
      <c r="N566" s="169">
        <f ca="1">IFERROR(__xludf.DUMMYFUNCTION("IMPORTRANGE(""https://docs.google.com/spreadsheets/d/1SX6NBoVAgQJ6U1MVXOaj8PK2l7WJ3RER9xtqwdhxkhw/edit?usp=sharing"",""ตราด!M461"")"),75155)</f>
        <v>75155</v>
      </c>
      <c r="O566" s="169">
        <f t="shared" ca="1" si="122"/>
        <v>62.255632869449968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IFERROR(__xludf.DUMMYFUNCTION("IMPORTRANGE(""https://docs.google.com/spreadsheets/d/1SX6NBoVAgQJ6U1MVXOaj8PK2l7WJ3RER9xtqwdhxkhw/edit?usp=sharing"",""ตราด!L462"")"),0)</f>
        <v>0</v>
      </c>
      <c r="M567" s="169"/>
      <c r="N567" s="169">
        <f ca="1">IFERROR(__xludf.DUMMYFUNCTION("IMPORTRANGE(""https://docs.google.com/spreadsheets/d/1SX6NBoVAgQJ6U1MVXOaj8PK2l7WJ3RER9xtqwdhxkhw/edit?usp=sharing"",""ตราด!M462"")"),0)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IFERROR(__xludf.DUMMYFUNCTION("IMPORTRANGE(""https://docs.google.com/spreadsheets/d/1SX6NBoVAgQJ6U1MVXOaj8PK2l7WJ3RER9xtqwdhxkhw/edit?usp=sharing"",""ตราด!L463"")"),120720)</f>
        <v>120720</v>
      </c>
      <c r="M568" s="169"/>
      <c r="N568" s="169">
        <f ca="1">IFERROR(__xludf.DUMMYFUNCTION("IMPORTRANGE(""https://docs.google.com/spreadsheets/d/1SX6NBoVAgQJ6U1MVXOaj8PK2l7WJ3RER9xtqwdhxkhw/edit?usp=sharing"",""ตราด!M463"")"),75155)</f>
        <v>75155</v>
      </c>
      <c r="O568" s="169">
        <f t="shared" ca="1" si="122"/>
        <v>62.255632869449968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IFERROR(__xludf.DUMMYFUNCTION("IMPORTRANGE(""https://docs.google.com/spreadsheets/d/1SX6NBoVAgQJ6U1MVXOaj8PK2l7WJ3RER9xtqwdhxkhw/edit?usp=sharing"",""ตราด!M464"")"),0)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IFERROR(__xludf.DUMMYFUNCTION("IMPORTRANGE(""https://docs.google.com/spreadsheets/d/1SX6NBoVAgQJ6U1MVXOaj8PK2l7WJ3RER9xtqwdhxkhw/edit?usp=sharing"",""ตราด!M465"")"),0)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IFERROR(__xludf.DUMMYFUNCTION("IMPORTRANGE(""https://docs.google.com/spreadsheets/d/1SX6NBoVAgQJ6U1MVXOaj8PK2l7WJ3RER9xtqwdhxkhw/edit?usp=sharing"",""ตราด!M466"")"),64935)</f>
        <v>64935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IFERROR(__xludf.DUMMYFUNCTION("IMPORTRANGE(""https://docs.google.com/spreadsheets/d/1SX6NBoVAgQJ6U1MVXOaj8PK2l7WJ3RER9xtqwdhxkhw/edit?usp=sharing"",""ตราด!M467"")"),10220)</f>
        <v>10220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IFERROR(__xludf.DUMMYFUNCTION("IMPORTRANGE(""https://docs.google.com/spreadsheets/d/1SX6NBoVAgQJ6U1MVXOaj8PK2l7WJ3RER9xtqwdhxkhw/edit?usp=sharing"",""ตราด!I468"")"),700)</f>
        <v>700</v>
      </c>
      <c r="J573" s="420">
        <f ca="1">IFERROR(__xludf.DUMMYFUNCTION("IMPORTRANGE(""https://docs.google.com/spreadsheets/d/1SX6NBoVAgQJ6U1MVXOaj8PK2l7WJ3RER9xtqwdhxkhw/edit?usp=sharing"",""ตราด!J468"")"),1219)</f>
        <v>1219</v>
      </c>
      <c r="K573" s="202">
        <f ca="1">IF(I573&gt;0,J573*100/I573,0)</f>
        <v>174.14285714285714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IFERROR(__xludf.DUMMYFUNCTION("IMPORTRANGE(""https://docs.google.com/spreadsheets/d/1SX6NBoVAgQJ6U1MVXOaj8PK2l7WJ3RER9xtqwdhxkhw/edit?usp=sharing"",""ตราด!I470"")"),0)</f>
        <v>0</v>
      </c>
      <c r="J575" s="198">
        <f ca="1">IFERROR(__xludf.DUMMYFUNCTION("IMPORTRANGE(""https://docs.google.com/spreadsheets/d/1SX6NBoVAgQJ6U1MVXOaj8PK2l7WJ3RER9xtqwdhxkhw/edit?usp=sharing"",""ตราด!J470"")"),4)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IFERROR(__xludf.DUMMYFUNCTION("IMPORTRANGE(""https://docs.google.com/spreadsheets/d/1SX6NBoVAgQJ6U1MVXOaj8PK2l7WJ3RER9xtqwdhxkhw/edit?usp=sharing"",""ตราด!I471"")"),0)</f>
        <v>0</v>
      </c>
      <c r="J576" s="198">
        <f ca="1">IFERROR(__xludf.DUMMYFUNCTION("IMPORTRANGE(""https://docs.google.com/spreadsheets/d/1SX6NBoVAgQJ6U1MVXOaj8PK2l7WJ3RER9xtqwdhxkhw/edit?usp=sharing"",""ตราด!J471"")"),57)</f>
        <v>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IFERROR(__xludf.DUMMYFUNCTION("IMPORTRANGE(""https://docs.google.com/spreadsheets/d/1SX6NBoVAgQJ6U1MVXOaj8PK2l7WJ3RER9xtqwdhxkhw/edit?usp=sharing"",""ตราด!I472"")"),0)</f>
        <v>0</v>
      </c>
      <c r="J577" s="189">
        <f ca="1">IFERROR(__xludf.DUMMYFUNCTION("IMPORTRANGE(""https://docs.google.com/spreadsheets/d/1SX6NBoVAgQJ6U1MVXOaj8PK2l7WJ3RER9xtqwdhxkhw/edit?usp=sharing"",""ตราด!J472"")"),1156)</f>
        <v>1156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IFERROR(__xludf.DUMMYFUNCTION("IMPORTRANGE(""https://docs.google.com/spreadsheets/d/1SX6NBoVAgQJ6U1MVXOaj8PK2l7WJ3RER9xtqwdhxkhw/edit?usp=sharing"",""ตราด!I473"")"),0)</f>
        <v>0</v>
      </c>
      <c r="J578" s="198">
        <f ca="1">IFERROR(__xludf.DUMMYFUNCTION("IMPORTRANGE(""https://docs.google.com/spreadsheets/d/1SX6NBoVAgQJ6U1MVXOaj8PK2l7WJ3RER9xtqwdhxkhw/edit?usp=sharing"",""ตราด!J473"")"),6)</f>
        <v>6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IFERROR(__xludf.DUMMYFUNCTION("IMPORTRANGE(""https://docs.google.com/spreadsheets/d/1SX6NBoVAgQJ6U1MVXOaj8PK2l7WJ3RER9xtqwdhxkhw/edit?usp=sharing"",""ตราด!I474"")"),0)</f>
        <v>0</v>
      </c>
      <c r="J579" s="198">
        <f ca="1">IFERROR(__xludf.DUMMYFUNCTION("IMPORTRANGE(""https://docs.google.com/spreadsheets/d/1SX6NBoVAgQJ6U1MVXOaj8PK2l7WJ3RER9xtqwdhxkhw/edit?usp=sharing"",""ตราด!J474"")"),0)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IFERROR(__xludf.DUMMYFUNCTION("IMPORTRANGE(""https://docs.google.com/spreadsheets/d/1SX6NBoVAgQJ6U1MVXOaj8PK2l7WJ3RER9xtqwdhxkhw/edit?usp=sharing"",""ตราด!I475"")"),0)</f>
        <v>0</v>
      </c>
      <c r="J580" s="371">
        <f ca="1">IFERROR(__xludf.DUMMYFUNCTION("IMPORTRANGE(""https://docs.google.com/spreadsheets/d/1SX6NBoVAgQJ6U1MVXOaj8PK2l7WJ3RER9xtqwdhxkhw/edit?usp=sharing"",""ตราด!J475"")"),0)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IFERROR(__xludf.DUMMYFUNCTION("IMPORTRANGE(""https://docs.google.com/spreadsheets/d/1SX6NBoVAgQJ6U1MVXOaj8PK2l7WJ3RER9xtqwdhxkhw/edit?usp=sharing"",""ตราด!L475"")"),0)</f>
        <v>0</v>
      </c>
      <c r="M580" s="373"/>
      <c r="N580" s="373">
        <f ca="1">IFERROR(__xludf.DUMMYFUNCTION("IMPORTRANGE(""https://docs.google.com/spreadsheets/d/1SX6NBoVAgQJ6U1MVXOaj8PK2l7WJ3RER9xtqwdhxkhw/edit?usp=sharing"",""ตราด!M475"")"),0)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IFERROR(__xludf.DUMMYFUNCTION("IMPORTRANGE(""https://docs.google.com/spreadsheets/d/1SX6NBoVAgQJ6U1MVXOaj8PK2l7WJ3RER9xtqwdhxkhw/edit?usp=sharing"",""ตราด!L476"")"),0)</f>
        <v>0</v>
      </c>
      <c r="M581" s="164"/>
      <c r="N581" s="169">
        <f ca="1">IFERROR(__xludf.DUMMYFUNCTION("IMPORTRANGE(""https://docs.google.com/spreadsheets/d/1SX6NBoVAgQJ6U1MVXOaj8PK2l7WJ3RER9xtqwdhxkhw/edit?usp=sharing"",""ตราด!M476"")"),0)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IFERROR(__xludf.DUMMYFUNCTION("IMPORTRANGE(""https://docs.google.com/spreadsheets/d/1SX6NBoVAgQJ6U1MVXOaj8PK2l7WJ3RER9xtqwdhxkhw/edit?usp=sharing"",""ตราด!L477"")"),0)</f>
        <v>0</v>
      </c>
      <c r="M582" s="165"/>
      <c r="N582" s="169">
        <f ca="1">IFERROR(__xludf.DUMMYFUNCTION("IMPORTRANGE(""https://docs.google.com/spreadsheets/d/1SX6NBoVAgQJ6U1MVXOaj8PK2l7WJ3RER9xtqwdhxkhw/edit?usp=sharing"",""ตราด!M477"")"),0)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IFERROR(__xludf.DUMMYFUNCTION("IMPORTRANGE(""https://docs.google.com/spreadsheets/d/1SX6NBoVAgQJ6U1MVXOaj8PK2l7WJ3RER9xtqwdhxkhw/edit?usp=sharing"",""ตราด!L478"")"),0)</f>
        <v>0</v>
      </c>
      <c r="M583" s="169"/>
      <c r="N583" s="169">
        <f ca="1">IFERROR(__xludf.DUMMYFUNCTION("IMPORTRANGE(""https://docs.google.com/spreadsheets/d/1SX6NBoVAgQJ6U1MVXOaj8PK2l7WJ3RER9xtqwdhxkhw/edit?usp=sharing"",""ตราด!M478"")"),0)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IFERROR(__xludf.DUMMYFUNCTION("IMPORTRANGE(""https://docs.google.com/spreadsheets/d/1SX6NBoVAgQJ6U1MVXOaj8PK2l7WJ3RER9xtqwdhxkhw/edit?usp=sharing"",""ตราด!L479"")"),0)</f>
        <v>0</v>
      </c>
      <c r="M584" s="169"/>
      <c r="N584" s="169">
        <f ca="1">IFERROR(__xludf.DUMMYFUNCTION("IMPORTRANGE(""https://docs.google.com/spreadsheets/d/1SX6NBoVAgQJ6U1MVXOaj8PK2l7WJ3RER9xtqwdhxkhw/edit?usp=sharing"",""ตราด!M479"")"),0)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IFERROR(__xludf.DUMMYFUNCTION("IMPORTRANGE(""https://docs.google.com/spreadsheets/d/1SX6NBoVAgQJ6U1MVXOaj8PK2l7WJ3RER9xtqwdhxkhw/edit?usp=sharing"",""ตราด!M480"")"),0)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IFERROR(__xludf.DUMMYFUNCTION("IMPORTRANGE(""https://docs.google.com/spreadsheets/d/1SX6NBoVAgQJ6U1MVXOaj8PK2l7WJ3RER9xtqwdhxkhw/edit?usp=sharing"",""ตราด!M481"")"),0)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IFERROR(__xludf.DUMMYFUNCTION("IMPORTRANGE(""https://docs.google.com/spreadsheets/d/1SX6NBoVAgQJ6U1MVXOaj8PK2l7WJ3RER9xtqwdhxkhw/edit?usp=sharing"",""ตราด!M482"")"),0)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IFERROR(__xludf.DUMMYFUNCTION("IMPORTRANGE(""https://docs.google.com/spreadsheets/d/1SX6NBoVAgQJ6U1MVXOaj8PK2l7WJ3RER9xtqwdhxkhw/edit?usp=sharing"",""ตราด!M483"")"),0)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IFERROR(__xludf.DUMMYFUNCTION("IMPORTRANGE(""https://docs.google.com/spreadsheets/d/1SX6NBoVAgQJ6U1MVXOaj8PK2l7WJ3RER9xtqwdhxkhw/edit?usp=sharing"",""ตราด!I484"")"),0)</f>
        <v>0</v>
      </c>
      <c r="J589" s="188">
        <f ca="1">IFERROR(__xludf.DUMMYFUNCTION("IMPORTRANGE(""https://docs.google.com/spreadsheets/d/1SX6NBoVAgQJ6U1MVXOaj8PK2l7WJ3RER9xtqwdhxkhw/edit?usp=sharing"",""ตราด!J484"")"),0)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IFERROR(__xludf.DUMMYFUNCTION("IMPORTRANGE(""https://docs.google.com/spreadsheets/d/1SX6NBoVAgQJ6U1MVXOaj8PK2l7WJ3RER9xtqwdhxkhw/edit?usp=sharing"",""ตราด!I485"")"),0)</f>
        <v>0</v>
      </c>
      <c r="J590" s="188">
        <f ca="1">IFERROR(__xludf.DUMMYFUNCTION("IMPORTRANGE(""https://docs.google.com/spreadsheets/d/1SX6NBoVAgQJ6U1MVXOaj8PK2l7WJ3RER9xtqwdhxkhw/edit?usp=sharing"",""ตราด!J485"")"),0)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IFERROR(__xludf.DUMMYFUNCTION("IMPORTRANGE(""https://docs.google.com/spreadsheets/d/1SX6NBoVAgQJ6U1MVXOaj8PK2l7WJ3RER9xtqwdhxkhw/edit?usp=sharing"",""ตราด!I486"")"),0)</f>
        <v>0</v>
      </c>
      <c r="J591" s="188">
        <f ca="1">IFERROR(__xludf.DUMMYFUNCTION("IMPORTRANGE(""https://docs.google.com/spreadsheets/d/1SX6NBoVAgQJ6U1MVXOaj8PK2l7WJ3RER9xtqwdhxkhw/edit?usp=sharing"",""ตราด!J486"")"),0)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IFERROR(__xludf.DUMMYFUNCTION("IMPORTRANGE(""https://docs.google.com/spreadsheets/d/1SX6NBoVAgQJ6U1MVXOaj8PK2l7WJ3RER9xtqwdhxkhw/edit?usp=sharing"",""ตราด!I487"")"),0)</f>
        <v>0</v>
      </c>
      <c r="J592" s="188">
        <f ca="1">IFERROR(__xludf.DUMMYFUNCTION("IMPORTRANGE(""https://docs.google.com/spreadsheets/d/1SX6NBoVAgQJ6U1MVXOaj8PK2l7WJ3RER9xtqwdhxkhw/edit?usp=sharing"",""ตราด!J487"")"),0)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IFERROR(__xludf.DUMMYFUNCTION("IMPORTRANGE(""https://docs.google.com/spreadsheets/d/1SX6NBoVAgQJ6U1MVXOaj8PK2l7WJ3RER9xtqwdhxkhw/edit?usp=sharing"",""ตราด!I488"")"),0)</f>
        <v>0</v>
      </c>
      <c r="J593" s="188">
        <f ca="1">IFERROR(__xludf.DUMMYFUNCTION("IMPORTRANGE(""https://docs.google.com/spreadsheets/d/1SX6NBoVAgQJ6U1MVXOaj8PK2l7WJ3RER9xtqwdhxkhw/edit?usp=sharing"",""ตราด!J488"")"),0)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IFERROR(__xludf.DUMMYFUNCTION("IMPORTRANGE(""https://docs.google.com/spreadsheets/d/1SX6NBoVAgQJ6U1MVXOaj8PK2l7WJ3RER9xtqwdhxkhw/edit?usp=sharing"",""ตราด!I489"")"),0)</f>
        <v>0</v>
      </c>
      <c r="J594" s="188">
        <f ca="1">IFERROR(__xludf.DUMMYFUNCTION("IMPORTRANGE(""https://docs.google.com/spreadsheets/d/1SX6NBoVAgQJ6U1MVXOaj8PK2l7WJ3RER9xtqwdhxkhw/edit?usp=sharing"",""ตราด!J489"")"),0)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IFERROR(__xludf.DUMMYFUNCTION("IMPORTRANGE(""https://docs.google.com/spreadsheets/d/1SX6NBoVAgQJ6U1MVXOaj8PK2l7WJ3RER9xtqwdhxkhw/edit?usp=sharing"",""ตราด!I490"")"),0)</f>
        <v>0</v>
      </c>
      <c r="J595" s="188">
        <f ca="1">IFERROR(__xludf.DUMMYFUNCTION("IMPORTRANGE(""https://docs.google.com/spreadsheets/d/1SX6NBoVAgQJ6U1MVXOaj8PK2l7WJ3RER9xtqwdhxkhw/edit?usp=sharing"",""ตราด!J490"")"),0)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IFERROR(__xludf.DUMMYFUNCTION("IMPORTRANGE(""https://docs.google.com/spreadsheets/d/1SX6NBoVAgQJ6U1MVXOaj8PK2l7WJ3RER9xtqwdhxkhw/edit?usp=sharing"",""ตราด!I491"")"),0)</f>
        <v>0</v>
      </c>
      <c r="J596" s="242">
        <f ca="1">IFERROR(__xludf.DUMMYFUNCTION("IMPORTRANGE(""https://docs.google.com/spreadsheets/d/1SX6NBoVAgQJ6U1MVXOaj8PK2l7WJ3RER9xtqwdhxkhw/edit?usp=sharing"",""ตราด!J491"")"),0)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IFERROR(__xludf.DUMMYFUNCTION("IMPORTRANGE(""https://docs.google.com/spreadsheets/d/1SX6NBoVAgQJ6U1MVXOaj8PK2l7WJ3RER9xtqwdhxkhw/edit?usp=sharing"",""ตราด!I492"")"),50)</f>
        <v>50</v>
      </c>
      <c r="J597" s="488">
        <f ca="1">IFERROR(__xludf.DUMMYFUNCTION("IMPORTRANGE(""https://docs.google.com/spreadsheets/d/1SX6NBoVAgQJ6U1MVXOaj8PK2l7WJ3RER9xtqwdhxkhw/edit?usp=sharing"",""ตราด!J492"")"),0)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IFERROR(__xludf.DUMMYFUNCTION("IMPORTRANGE(""https://docs.google.com/spreadsheets/d/1SX6NBoVAgQJ6U1MVXOaj8PK2l7WJ3RER9xtqwdhxkhw/edit?usp=sharing"",""ตราด!L492"")"),6150)</f>
        <v>6150</v>
      </c>
      <c r="M597" s="412"/>
      <c r="N597" s="412">
        <f ca="1">IFERROR(__xludf.DUMMYFUNCTION("IMPORTRANGE(""https://docs.google.com/spreadsheets/d/1SX6NBoVAgQJ6U1MVXOaj8PK2l7WJ3RER9xtqwdhxkhw/edit?usp=sharing"",""ตราด!M492"")"),3400)</f>
        <v>3400</v>
      </c>
      <c r="O597" s="412">
        <f t="shared" ref="O597:O601" ca="1" si="126">+IF(L597&gt;0,N597*100/L597,0)</f>
        <v>55.284552845528452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IFERROR(__xludf.DUMMYFUNCTION("IMPORTRANGE(""https://docs.google.com/spreadsheets/d/1SX6NBoVAgQJ6U1MVXOaj8PK2l7WJ3RER9xtqwdhxkhw/edit?usp=sharing"",""ตราด!L493"")"),0)</f>
        <v>0</v>
      </c>
      <c r="M598" s="164"/>
      <c r="N598" s="169">
        <f ca="1">IFERROR(__xludf.DUMMYFUNCTION("IMPORTRANGE(""https://docs.google.com/spreadsheets/d/1SX6NBoVAgQJ6U1MVXOaj8PK2l7WJ3RER9xtqwdhxkhw/edit?usp=sharing"",""ตราด!M493"")"),0)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IFERROR(__xludf.DUMMYFUNCTION("IMPORTRANGE(""https://docs.google.com/spreadsheets/d/1SX6NBoVAgQJ6U1MVXOaj8PK2l7WJ3RER9xtqwdhxkhw/edit?usp=sharing"",""ตราด!L494"")"),6150)</f>
        <v>6150</v>
      </c>
      <c r="M599" s="165"/>
      <c r="N599" s="169">
        <f ca="1">IFERROR(__xludf.DUMMYFUNCTION("IMPORTRANGE(""https://docs.google.com/spreadsheets/d/1SX6NBoVAgQJ6U1MVXOaj8PK2l7WJ3RER9xtqwdhxkhw/edit?usp=sharing"",""ตราด!M494"")"),3400)</f>
        <v>3400</v>
      </c>
      <c r="O599" s="169">
        <f t="shared" ca="1" si="126"/>
        <v>55.284552845528452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IFERROR(__xludf.DUMMYFUNCTION("IMPORTRANGE(""https://docs.google.com/spreadsheets/d/1SX6NBoVAgQJ6U1MVXOaj8PK2l7WJ3RER9xtqwdhxkhw/edit?usp=sharing"",""ตราด!L495"")"),0)</f>
        <v>0</v>
      </c>
      <c r="M600" s="169"/>
      <c r="N600" s="169">
        <f ca="1">IFERROR(__xludf.DUMMYFUNCTION("IMPORTRANGE(""https://docs.google.com/spreadsheets/d/1SX6NBoVAgQJ6U1MVXOaj8PK2l7WJ3RER9xtqwdhxkhw/edit?usp=sharing"",""ตราด!M495"")"),0)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IFERROR(__xludf.DUMMYFUNCTION("IMPORTRANGE(""https://docs.google.com/spreadsheets/d/1SX6NBoVAgQJ6U1MVXOaj8PK2l7WJ3RER9xtqwdhxkhw/edit?usp=sharing"",""ตราด!L496"")"),6150)</f>
        <v>6150</v>
      </c>
      <c r="M601" s="169"/>
      <c r="N601" s="169">
        <f ca="1">IFERROR(__xludf.DUMMYFUNCTION("IMPORTRANGE(""https://docs.google.com/spreadsheets/d/1SX6NBoVAgQJ6U1MVXOaj8PK2l7WJ3RER9xtqwdhxkhw/edit?usp=sharing"",""ตราด!M496"")"),3400)</f>
        <v>3400</v>
      </c>
      <c r="O601" s="169">
        <f t="shared" ca="1" si="126"/>
        <v>55.284552845528452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IFERROR(__xludf.DUMMYFUNCTION("IMPORTRANGE(""https://docs.google.com/spreadsheets/d/1SX6NBoVAgQJ6U1MVXOaj8PK2l7WJ3RER9xtqwdhxkhw/edit?usp=sharing"",""ตราด!M497"")"),0)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IFERROR(__xludf.DUMMYFUNCTION("IMPORTRANGE(""https://docs.google.com/spreadsheets/d/1SX6NBoVAgQJ6U1MVXOaj8PK2l7WJ3RER9xtqwdhxkhw/edit?usp=sharing"",""ตราด!M498"")"),0)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IFERROR(__xludf.DUMMYFUNCTION("IMPORTRANGE(""https://docs.google.com/spreadsheets/d/1SX6NBoVAgQJ6U1MVXOaj8PK2l7WJ3RER9xtqwdhxkhw/edit?usp=sharing"",""ตราด!M499"")"),0)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IFERROR(__xludf.DUMMYFUNCTION("IMPORTRANGE(""https://docs.google.com/spreadsheets/d/1SX6NBoVAgQJ6U1MVXOaj8PK2l7WJ3RER9xtqwdhxkhw/edit?usp=sharing"",""ตราด!M500"")"),3400)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IFERROR(__xludf.DUMMYFUNCTION("IMPORTRANGE(""https://docs.google.com/spreadsheets/d/1SX6NBoVAgQJ6U1MVXOaj8PK2l7WJ3RER9xtqwdhxkhw/edit?usp=sharing"",""ตราด!J502"")"),0)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IFERROR(__xludf.DUMMYFUNCTION("IMPORTRANGE(""https://docs.google.com/spreadsheets/d/1SX6NBoVAgQJ6U1MVXOaj8PK2l7WJ3RER9xtqwdhxkhw/edit?usp=sharing"",""ตราด!J503"")"),1)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IFERROR(__xludf.DUMMYFUNCTION("IMPORTRANGE(""https://docs.google.com/spreadsheets/d/1SX6NBoVAgQJ6U1MVXOaj8PK2l7WJ3RER9xtqwdhxkhw/edit?usp=sharing"",""ตราด!J166"")"),0)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IFERROR(__xludf.DUMMYFUNCTION("IMPORTRANGE(""https://docs.google.com/spreadsheets/d/1SX6NBoVAgQJ6U1MVXOaj8PK2l7WJ3RER9xtqwdhxkhw/edit?usp=sharing"",""ตราด!J166"")"),0)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IFERROR(__xludf.DUMMYFUNCTION("IMPORTRANGE(""https://docs.google.com/spreadsheets/d/1SX6NBoVAgQJ6U1MVXOaj8PK2l7WJ3RER9xtqwdhxkhw/edit?usp=sharing"",""ตราด!I506"")"),50)</f>
        <v>50</v>
      </c>
      <c r="J611" s="162">
        <f ca="1">IFERROR(__xludf.DUMMYFUNCTION("IMPORTRANGE(""https://docs.google.com/spreadsheets/d/1SX6NBoVAgQJ6U1MVXOaj8PK2l7WJ3RER9xtqwdhxkhw/edit?usp=sharing"",""ตราด!J506"")"),0)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IFERROR(__xludf.DUMMYFUNCTION("IMPORTRANGE(""https://docs.google.com/spreadsheets/d/1SX6NBoVAgQJ6U1MVXOaj8PK2l7WJ3RER9xtqwdhxkhw/edit?usp=sharing"",""ตราด!I507"")"),0)</f>
        <v>0</v>
      </c>
      <c r="J612" s="198">
        <f ca="1">IFERROR(__xludf.DUMMYFUNCTION("IMPORTRANGE(""https://docs.google.com/spreadsheets/d/1SX6NBoVAgQJ6U1MVXOaj8PK2l7WJ3RER9xtqwdhxkhw/edit?usp=sharing"",""ตราด!J507"")"),0)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IFERROR(__xludf.DUMMYFUNCTION("IMPORTRANGE(""https://docs.google.com/spreadsheets/d/1SX6NBoVAgQJ6U1MVXOaj8PK2l7WJ3RER9xtqwdhxkhw/edit?usp=sharing"",""ตราด!I508"")"),0)</f>
        <v>0</v>
      </c>
      <c r="J613" s="198">
        <f ca="1">IFERROR(__xludf.DUMMYFUNCTION("IMPORTRANGE(""https://docs.google.com/spreadsheets/d/1SX6NBoVAgQJ6U1MVXOaj8PK2l7WJ3RER9xtqwdhxkhw/edit?usp=sharing"",""ตราด!J508"")"),0)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IFERROR(__xludf.DUMMYFUNCTION("IMPORTRANGE(""https://docs.google.com/spreadsheets/d/1SX6NBoVAgQJ6U1MVXOaj8PK2l7WJ3RER9xtqwdhxkhw/edit?usp=sharing"",""ตราด!I509"")"),0)</f>
        <v>0</v>
      </c>
      <c r="J614" s="198">
        <f ca="1">IFERROR(__xludf.DUMMYFUNCTION("IMPORTRANGE(""https://docs.google.com/spreadsheets/d/1SX6NBoVAgQJ6U1MVXOaj8PK2l7WJ3RER9xtqwdhxkhw/edit?usp=sharing"",""ตราด!J509"")"),0)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IFERROR(__xludf.DUMMYFUNCTION("IMPORTRANGE(""https://docs.google.com/spreadsheets/d/1SX6NBoVAgQJ6U1MVXOaj8PK2l7WJ3RER9xtqwdhxkhw/edit?usp=sharing"",""ตราด!I510"")"),0)</f>
        <v>0</v>
      </c>
      <c r="J615" s="198">
        <f ca="1">IFERROR(__xludf.DUMMYFUNCTION("IMPORTRANGE(""https://docs.google.com/spreadsheets/d/1SX6NBoVAgQJ6U1MVXOaj8PK2l7WJ3RER9xtqwdhxkhw/edit?usp=sharing"",""ตราด!J510"")"),0)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IFERROR(__xludf.DUMMYFUNCTION("IMPORTRANGE(""https://docs.google.com/spreadsheets/d/1SX6NBoVAgQJ6U1MVXOaj8PK2l7WJ3RER9xtqwdhxkhw/edit?usp=sharing"",""ตราด!I511"")"),0)</f>
        <v>0</v>
      </c>
      <c r="J616" s="198">
        <f ca="1">IFERROR(__xludf.DUMMYFUNCTION("IMPORTRANGE(""https://docs.google.com/spreadsheets/d/1SX6NBoVAgQJ6U1MVXOaj8PK2l7WJ3RER9xtqwdhxkhw/edit?usp=sharing"",""ตราด!J511"")"),0)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IFERROR(__xludf.DUMMYFUNCTION("IMPORTRANGE(""https://docs.google.com/spreadsheets/d/1SX6NBoVAgQJ6U1MVXOaj8PK2l7WJ3RER9xtqwdhxkhw/edit?usp=sharing"",""ตราด!I512"")"),0)</f>
        <v>0</v>
      </c>
      <c r="J617" s="188">
        <f ca="1">IFERROR(__xludf.DUMMYFUNCTION("IMPORTRANGE(""https://docs.google.com/spreadsheets/d/1SX6NBoVAgQJ6U1MVXOaj8PK2l7WJ3RER9xtqwdhxkhw/edit?usp=sharing"",""ตราด!J512"")"),0)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IFERROR(__xludf.DUMMYFUNCTION("IMPORTRANGE(""https://docs.google.com/spreadsheets/d/1SX6NBoVAgQJ6U1MVXOaj8PK2l7WJ3RER9xtqwdhxkhw/edit?usp=sharing"",""ตราด!I513"")"),0)</f>
        <v>0</v>
      </c>
      <c r="J618" s="189">
        <f ca="1">IFERROR(__xludf.DUMMYFUNCTION("IMPORTRANGE(""https://docs.google.com/spreadsheets/d/1SX6NBoVAgQJ6U1MVXOaj8PK2l7WJ3RER9xtqwdhxkhw/edit?usp=sharing"",""ตราด!J513"")"),0)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IFERROR(__xludf.DUMMYFUNCTION("IMPORTRANGE(""https://docs.google.com/spreadsheets/d/1SX6NBoVAgQJ6U1MVXOaj8PK2l7WJ3RER9xtqwdhxkhw/edit?usp=sharing"",""ตราด!I514"")"),0)</f>
        <v>0</v>
      </c>
      <c r="J619" s="189">
        <f ca="1">IFERROR(__xludf.DUMMYFUNCTION("IMPORTRANGE(""https://docs.google.com/spreadsheets/d/1SX6NBoVAgQJ6U1MVXOaj8PK2l7WJ3RER9xtqwdhxkhw/edit?usp=sharing"",""ตราด!J514"")"),0)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IFERROR(__xludf.DUMMYFUNCTION("IMPORTRANGE(""https://docs.google.com/spreadsheets/d/1SX6NBoVAgQJ6U1MVXOaj8PK2l7WJ3RER9xtqwdhxkhw/edit?usp=sharing"",""ตราด!I515"")"),0)</f>
        <v>0</v>
      </c>
      <c r="J620" s="203">
        <f ca="1">IFERROR(__xludf.DUMMYFUNCTION("IMPORTRANGE(""https://docs.google.com/spreadsheets/d/1SX6NBoVAgQJ6U1MVXOaj8PK2l7WJ3RER9xtqwdhxkhw/edit?usp=sharing"",""ตราด!J515"")"),0)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IFERROR(__xludf.DUMMYFUNCTION("IMPORTRANGE(""https://docs.google.com/spreadsheets/d/1SX6NBoVAgQJ6U1MVXOaj8PK2l7WJ3RER9xtqwdhxkhw/edit?usp=sharing"",""ตราด!I516"")"),0)</f>
        <v>0</v>
      </c>
      <c r="J621" s="203">
        <f ca="1">IFERROR(__xludf.DUMMYFUNCTION("IMPORTRANGE(""https://docs.google.com/spreadsheets/d/1SX6NBoVAgQJ6U1MVXOaj8PK2l7WJ3RER9xtqwdhxkhw/edit?usp=sharing"",""ตราด!J516"")"),0)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IFERROR(__xludf.DUMMYFUNCTION("IMPORTRANGE(""https://docs.google.com/spreadsheets/d/1SX6NBoVAgQJ6U1MVXOaj8PK2l7WJ3RER9xtqwdhxkhw/edit?usp=sharing"",""ตราด!I517"")"),0)</f>
        <v>0</v>
      </c>
      <c r="J622" s="189">
        <f ca="1">IFERROR(__xludf.DUMMYFUNCTION("IMPORTRANGE(""https://docs.google.com/spreadsheets/d/1SX6NBoVAgQJ6U1MVXOaj8PK2l7WJ3RER9xtqwdhxkhw/edit?usp=sharing"",""ตราด!J517"")"),0)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IFERROR(__xludf.DUMMYFUNCTION("IMPORTRANGE(""https://docs.google.com/spreadsheets/d/1SX6NBoVAgQJ6U1MVXOaj8PK2l7WJ3RER9xtqwdhxkhw/edit?usp=sharing"",""ตราด!I518"")"),0)</f>
        <v>0</v>
      </c>
      <c r="J623" s="189">
        <f ca="1">IFERROR(__xludf.DUMMYFUNCTION("IMPORTRANGE(""https://docs.google.com/spreadsheets/d/1SX6NBoVAgQJ6U1MVXOaj8PK2l7WJ3RER9xtqwdhxkhw/edit?usp=sharing"",""ตราด!J518"")"),0)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IFERROR(__xludf.DUMMYFUNCTION("IMPORTRANGE(""https://docs.google.com/spreadsheets/d/1SX6NBoVAgQJ6U1MVXOaj8PK2l7WJ3RER9xtqwdhxkhw/edit?usp=sharing"",""ตราด!I519"")"),0)</f>
        <v>0</v>
      </c>
      <c r="J624" s="188">
        <f ca="1">IFERROR(__xludf.DUMMYFUNCTION("IMPORTRANGE(""https://docs.google.com/spreadsheets/d/1SX6NBoVAgQJ6U1MVXOaj8PK2l7WJ3RER9xtqwdhxkhw/edit?usp=sharing"",""ตราด!J519"")"),0)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IFERROR(__xludf.DUMMYFUNCTION("IMPORTRANGE(""https://docs.google.com/spreadsheets/d/1SX6NBoVAgQJ6U1MVXOaj8PK2l7WJ3RER9xtqwdhxkhw/edit?usp=sharing"",""ตราด!I520"")"),0)</f>
        <v>0</v>
      </c>
      <c r="J625" s="189">
        <f ca="1">IFERROR(__xludf.DUMMYFUNCTION("IMPORTRANGE(""https://docs.google.com/spreadsheets/d/1SX6NBoVAgQJ6U1MVXOaj8PK2l7WJ3RER9xtqwdhxkhw/edit?usp=sharing"",""ตราด!J520"")"),0)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IFERROR(__xludf.DUMMYFUNCTION("IMPORTRANGE(""https://docs.google.com/spreadsheets/d/1SX6NBoVAgQJ6U1MVXOaj8PK2l7WJ3RER9xtqwdhxkhw/edit?usp=sharing"",""ตราด!I521"")"),0)</f>
        <v>0</v>
      </c>
      <c r="J626" s="189">
        <f ca="1">IFERROR(__xludf.DUMMYFUNCTION("IMPORTRANGE(""https://docs.google.com/spreadsheets/d/1SX6NBoVAgQJ6U1MVXOaj8PK2l7WJ3RER9xtqwdhxkhw/edit?usp=sharing"",""ตราด!J521"")"),0)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IFERROR(__xludf.DUMMYFUNCTION("IMPORTRANGE(""https://docs.google.com/spreadsheets/d/1SX6NBoVAgQJ6U1MVXOaj8PK2l7WJ3RER9xtqwdhxkhw/edit?usp=sharing"",""ตราด!I523"")"),2500000)</f>
        <v>2500000</v>
      </c>
      <c r="J628" s="342">
        <f ca="1">IFERROR(__xludf.DUMMYFUNCTION("IMPORTRANGE(""https://docs.google.com/spreadsheets/d/1SX6NBoVAgQJ6U1MVXOaj8PK2l7WJ3RER9xtqwdhxkhw/edit?usp=sharing"",""ตราด!J523"")"),2370151.82)</f>
        <v>2370151.8199999998</v>
      </c>
      <c r="K628" s="343">
        <f t="shared" ref="K628:K635" ca="1" si="129">IF(I628&gt;0,J628*100/I628,0)</f>
        <v>94.806072799999981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IFERROR(__xludf.DUMMYFUNCTION("IMPORTRANGE(""https://docs.google.com/spreadsheets/d/1SX6NBoVAgQJ6U1MVXOaj8PK2l7WJ3RER9xtqwdhxkhw/edit?usp=sharing"",""ตราด!I524"")"),117)</f>
        <v>117</v>
      </c>
      <c r="J629" s="342">
        <f ca="1">IFERROR(__xludf.DUMMYFUNCTION("IMPORTRANGE(""https://docs.google.com/spreadsheets/d/1SX6NBoVAgQJ6U1MVXOaj8PK2l7WJ3RER9xtqwdhxkhw/edit?usp=sharing"",""ตราด!J524"")"),114)</f>
        <v>114</v>
      </c>
      <c r="K629" s="343">
        <f t="shared" ca="1" si="129"/>
        <v>97.435897435897431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IFERROR(__xludf.DUMMYFUNCTION("IMPORTRANGE(""https://docs.google.com/spreadsheets/d/1SX6NBoVAgQJ6U1MVXOaj8PK2l7WJ3RER9xtqwdhxkhw/edit?usp=sharing"",""ตราด!I525"")"),1746021.08)</f>
        <v>1746021.08</v>
      </c>
      <c r="J630" s="342">
        <f ca="1">IFERROR(__xludf.DUMMYFUNCTION("IMPORTRANGE(""https://docs.google.com/spreadsheets/d/1SX6NBoVAgQJ6U1MVXOaj8PK2l7WJ3RER9xtqwdhxkhw/edit?usp=sharing"",""ตราด!J525"")"),498571.13)</f>
        <v>498571.13</v>
      </c>
      <c r="K630" s="343">
        <f t="shared" ca="1" si="129"/>
        <v>28.554702787437137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IFERROR(__xludf.DUMMYFUNCTION("IMPORTRANGE(""https://docs.google.com/spreadsheets/d/1SX6NBoVAgQJ6U1MVXOaj8PK2l7WJ3RER9xtqwdhxkhw/edit?usp=sharing"",""ตราด!I526"")"),45)</f>
        <v>45</v>
      </c>
      <c r="J631" s="342">
        <f ca="1">IFERROR(__xludf.DUMMYFUNCTION("IMPORTRANGE(""https://docs.google.com/spreadsheets/d/1SX6NBoVAgQJ6U1MVXOaj8PK2l7WJ3RER9xtqwdhxkhw/edit?usp=sharing"",""ตราด!J526"")"),34)</f>
        <v>34</v>
      </c>
      <c r="K631" s="343">
        <f t="shared" ca="1" si="129"/>
        <v>75.555555555555557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IFERROR(__xludf.DUMMYFUNCTION("IMPORTRANGE(""https://docs.google.com/spreadsheets/d/1SX6NBoVAgQJ6U1MVXOaj8PK2l7WJ3RER9xtqwdhxkhw/edit?usp=sharing"",""ตราด!I527"")"),0)</f>
        <v>0</v>
      </c>
      <c r="J632" s="342">
        <f ca="1">IFERROR(__xludf.DUMMYFUNCTION("IMPORTRANGE(""https://docs.google.com/spreadsheets/d/1SX6NBoVAgQJ6U1MVXOaj8PK2l7WJ3RER9xtqwdhxkhw/edit?usp=sharing"",""ตราด!J527"")"),0)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IFERROR(__xludf.DUMMYFUNCTION("IMPORTRANGE(""https://docs.google.com/spreadsheets/d/1SX6NBoVAgQJ6U1MVXOaj8PK2l7WJ3RER9xtqwdhxkhw/edit?usp=sharing"",""ตราด!I528"")"),0)</f>
        <v>0</v>
      </c>
      <c r="J633" s="342">
        <f ca="1">IFERROR(__xludf.DUMMYFUNCTION("IMPORTRANGE(""https://docs.google.com/spreadsheets/d/1SX6NBoVAgQJ6U1MVXOaj8PK2l7WJ3RER9xtqwdhxkhw/edit?usp=sharing"",""ตราด!J528"")"),0)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IFERROR(__xludf.DUMMYFUNCTION("IMPORTRANGE(""https://docs.google.com/spreadsheets/d/1SX6NBoVAgQJ6U1MVXOaj8PK2l7WJ3RER9xtqwdhxkhw/edit?usp=sharing"",""ตราด!I529"")"),2329000)</f>
        <v>2329000</v>
      </c>
      <c r="J634" s="342">
        <f ca="1">IFERROR(__xludf.DUMMYFUNCTION("IMPORTRANGE(""https://docs.google.com/spreadsheets/d/1SX6NBoVAgQJ6U1MVXOaj8PK2l7WJ3RER9xtqwdhxkhw/edit?usp=sharing"",""ตราด!J529"")"),2329000)</f>
        <v>2329000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IFERROR(__xludf.DUMMYFUNCTION("IMPORTRANGE(""https://docs.google.com/spreadsheets/d/1SX6NBoVAgQJ6U1MVXOaj8PK2l7WJ3RER9xtqwdhxkhw/edit?usp=sharing"",""ตราด!I530"")"),131)</f>
        <v>131</v>
      </c>
      <c r="J635" s="505">
        <f ca="1">IFERROR(__xludf.DUMMYFUNCTION("IMPORTRANGE(""https://docs.google.com/spreadsheets/d/1SX6NBoVAgQJ6U1MVXOaj8PK2l7WJ3RER9xtqwdhxkhw/edit?usp=sharing"",""ตราด!J530"")"),110)</f>
        <v>110</v>
      </c>
      <c r="K635" s="487">
        <f t="shared" ca="1" si="129"/>
        <v>83.969465648854964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0</v>
      </c>
      <c r="M636" s="512"/>
      <c r="N636" s="511">
        <f ca="1">SUM(N637:N638)</f>
        <v>0</v>
      </c>
      <c r="O636" s="511">
        <f t="shared" ref="O636:O640" ca="1" si="130">+IF(L636&gt;0,N636*100/L636,0)</f>
        <v>0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0</v>
      </c>
      <c r="M638" s="522"/>
      <c r="N638" s="523">
        <f ca="1">SUM(N639:N640)</f>
        <v>0</v>
      </c>
      <c r="O638" s="523">
        <f t="shared" ca="1" si="130"/>
        <v>0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0</v>
      </c>
      <c r="M640" s="522"/>
      <c r="N640" s="523">
        <f ca="1">SUM(N641:N644)</f>
        <v>0</v>
      </c>
      <c r="O640" s="523">
        <f t="shared" ca="1" si="130"/>
        <v>0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IFERROR(__xludf.DUMMYFUNCTION("IMPORTRANGE(""https://docs.google.com/spreadsheets/d/1SX6NBoVAgQJ6U1MVXOaj8PK2l7WJ3RER9xtqwdhxkhw/edit#gid=346597447"",""ตราด!J541"")"),0)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IFERROR(__xludf.DUMMYFUNCTION("IMPORTRANGE(""https://docs.google.com/spreadsheets/d/1SX6NBoVAgQJ6U1MVXOaj8PK2l7WJ3RER9xtqwdhxkhw/edit#gid=346597447"",""ตราด!J542"")"),0)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IFERROR(__xludf.DUMMYFUNCTION("IMPORTRANGE(""https://docs.google.com/spreadsheets/d/1SX6NBoVAgQJ6U1MVXOaj8PK2l7WJ3RER9xtqwdhxkhw/edit#gid=346597447"",""ตราด!I543"")"),0)</f>
        <v>0</v>
      </c>
      <c r="J648" s="537">
        <f ca="1">IFERROR(__xludf.DUMMYFUNCTION("IMPORTRANGE(""https://docs.google.com/spreadsheets/d/1SX6NBoVAgQJ6U1MVXOaj8PK2l7WJ3RER9xtqwdhxkhw/edit#gid=346597447"",""ตราด!J543"")"),0)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IFERROR(__xludf.DUMMYFUNCTION("IMPORTRANGE(""https://docs.google.com/spreadsheets/d/1SX6NBoVAgQJ6U1MVXOaj8PK2l7WJ3RER9xtqwdhxkhw/edit#gid=346597447"",""ตราด!L543"")"),0)</f>
        <v>0</v>
      </c>
      <c r="M648" s="522"/>
      <c r="N648" s="539">
        <f ca="1">IFERROR(__xludf.DUMMYFUNCTION("IMPORTRANGE(""https://docs.google.com/spreadsheets/d/1SX6NBoVAgQJ6U1MVXOaj8PK2l7WJ3RER9xtqwdhxkhw/edit#gid=346597447"",""ตราด!M543"")"),0)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IFERROR(__xludf.DUMMYFUNCTION("IMPORTRANGE(""https://docs.google.com/spreadsheets/d/1SX6NBoVAgQJ6U1MVXOaj8PK2l7WJ3RER9xtqwdhxkhw/edit#gid=346597447"",""ตราด!I544"")"),0)</f>
        <v>0</v>
      </c>
      <c r="J649" s="537">
        <f ca="1">IFERROR(__xludf.DUMMYFUNCTION("IMPORTRANGE(""https://docs.google.com/spreadsheets/d/1SX6NBoVAgQJ6U1MVXOaj8PK2l7WJ3RER9xtqwdhxkhw/edit#gid=346597447"",""ตราด!J544"")"),0)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IFERROR(__xludf.DUMMYFUNCTION("IMPORTRANGE(""https://docs.google.com/spreadsheets/d/1SX6NBoVAgQJ6U1MVXOaj8PK2l7WJ3RER9xtqwdhxkhw/edit#gid=346597447"",""ตราด!L544"")"),0)</f>
        <v>0</v>
      </c>
      <c r="M649" s="522"/>
      <c r="N649" s="539">
        <f ca="1">IFERROR(__xludf.DUMMYFUNCTION("IMPORTRANGE(""https://docs.google.com/spreadsheets/d/1SX6NBoVAgQJ6U1MVXOaj8PK2l7WJ3RER9xtqwdhxkhw/edit#gid=346597447"",""ตราด!M544"")"),0)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IFERROR(__xludf.DUMMYFUNCTION("IMPORTRANGE(""https://docs.google.com/spreadsheets/d/1SX6NBoVAgQJ6U1MVXOaj8PK2l7WJ3RER9xtqwdhxkhw/edit#gid=346597447"",""ตราด!I545"")"),0)</f>
        <v>0</v>
      </c>
      <c r="J650" s="537">
        <f ca="1">IFERROR(__xludf.DUMMYFUNCTION("IMPORTRANGE(""https://docs.google.com/spreadsheets/d/1SX6NBoVAgQJ6U1MVXOaj8PK2l7WJ3RER9xtqwdhxkhw/edit#gid=346597447"",""ตราด!J545"")"),0)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IFERROR(__xludf.DUMMYFUNCTION("IMPORTRANGE(""https://docs.google.com/spreadsheets/d/1SX6NBoVAgQJ6U1MVXOaj8PK2l7WJ3RER9xtqwdhxkhw/edit#gid=346597447"",""ตราด!L545"")"),0)</f>
        <v>0</v>
      </c>
      <c r="M650" s="522"/>
      <c r="N650" s="539">
        <f ca="1">IFERROR(__xludf.DUMMYFUNCTION("IMPORTRANGE(""https://docs.google.com/spreadsheets/d/1SX6NBoVAgQJ6U1MVXOaj8PK2l7WJ3RER9xtqwdhxkhw/edit#gid=346597447"",""ตราด!M545"")"),0)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IFERROR(__xludf.DUMMYFUNCTION("IMPORTRANGE(""https://docs.google.com/spreadsheets/d/1SX6NBoVAgQJ6U1MVXOaj8PK2l7WJ3RER9xtqwdhxkhw/edit#gid=346597447"",""ตราด!I546"")"),0)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IFERROR(__xludf.DUMMYFUNCTION("IMPORTRANGE(""https://docs.google.com/spreadsheets/d/1SX6NBoVAgQJ6U1MVXOaj8PK2l7WJ3RER9xtqwdhxkhw/edit#gid=346597447"",""ตราด!L546"")"),0)</f>
        <v>0</v>
      </c>
      <c r="M651" s="522"/>
      <c r="N651" s="539">
        <f ca="1">IFERROR(__xludf.DUMMYFUNCTION("IMPORTRANGE(""https://docs.google.com/spreadsheets/d/1SX6NBoVAgQJ6U1MVXOaj8PK2l7WJ3RER9xtqwdhxkhw/edit#gid=346597447"",""ตราด!M546"")"),0)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IFERROR(__xludf.DUMMYFUNCTION("IMPORTRANGE(""https://docs.google.com/spreadsheets/d/1SX6NBoVAgQJ6U1MVXOaj8PK2l7WJ3RER9xtqwdhxkhw/edit#gid=346597447"",""ตราด!J547"")"),0)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IFERROR(__xludf.DUMMYFUNCTION("IMPORTRANGE(""https://docs.google.com/spreadsheets/d/1SX6NBoVAgQJ6U1MVXOaj8PK2l7WJ3RER9xtqwdhxkhw/edit#gid=346597447"",""ตราด!J548"")"),0)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IFERROR(__xludf.DUMMYFUNCTION("IMPORTRANGE(""https://docs.google.com/spreadsheets/d/1SX6NBoVAgQJ6U1MVXOaj8PK2l7WJ3RER9xtqwdhxkhw/edit#gid=346597447"",""ตราด!J550"")"),0)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IFERROR(__xludf.DUMMYFUNCTION("IMPORTRANGE(""https://docs.google.com/spreadsheets/d/1SX6NBoVAgQJ6U1MVXOaj8PK2l7WJ3RER9xtqwdhxkhw/edit#gid=346597447"",""ตราด!J551"")"),0)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IFERROR(__xludf.DUMMYFUNCTION("IMPORTRANGE(""https://docs.google.com/spreadsheets/d/1SX6NBoVAgQJ6U1MVXOaj8PK2l7WJ3RER9xtqwdhxkhw/edit#gid=346597447"",""ตราด!J552"")"),0)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IFERROR(__xludf.DUMMYFUNCTION("IMPORTRANGE(""https://docs.google.com/spreadsheets/d/1SX6NBoVAgQJ6U1MVXOaj8PK2l7WJ3RER9xtqwdhxkhw/edit#gid=346597447"",""ตราด!J553"")"),0)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IFERROR(__xludf.DUMMYFUNCTION("IMPORTRANGE(""https://docs.google.com/spreadsheets/d/1SX6NBoVAgQJ6U1MVXOaj8PK2l7WJ3RER9xtqwdhxkhw/edit#gid=346597447"",""ตราด!J554"")"),0)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IFERROR(__xludf.DUMMYFUNCTION("IMPORTRANGE(""https://docs.google.com/spreadsheets/d/1SX6NBoVAgQJ6U1MVXOaj8PK2l7WJ3RER9xtqwdhxkhw/edit#gid=346597447"",""ตราด!J555"")"),0)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IFERROR(__xludf.DUMMYFUNCTION("IMPORTRANGE(""https://docs.google.com/spreadsheets/d/1SX6NBoVAgQJ6U1MVXOaj8PK2l7WJ3RER9xtqwdhxkhw/edit#gid=346597447"",""ตราด!J556"")"),0)</f>
        <v>0</v>
      </c>
      <c r="K661" s="538"/>
      <c r="L661" s="523">
        <f ca="1">IFERROR(__xludf.DUMMYFUNCTION("IMPORTRANGE(""https://docs.google.com/spreadsheets/d/1SX6NBoVAgQJ6U1MVXOaj8PK2l7WJ3RER9xtqwdhxkhw/edit#gid=346597447"",""ตราด!L556"")"),0)</f>
        <v>0</v>
      </c>
      <c r="M661" s="522"/>
      <c r="N661" s="539">
        <f ca="1">IFERROR(__xludf.DUMMYFUNCTION("IMPORTRANGE(""https://docs.google.com/spreadsheets/d/1SX6NBoVAgQJ6U1MVXOaj8PK2l7WJ3RER9xtqwdhxkhw/edit#gid=346597447"",""ตราด!M556"")"),0)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IFERROR(__xludf.DUMMYFUNCTION("IMPORTRANGE(""https://docs.google.com/spreadsheets/d/1SX6NBoVAgQJ6U1MVXOaj8PK2l7WJ3RER9xtqwdhxkhw/edit#gid=346597447"",""ตราด!J557"")"),0)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IFERROR(__xludf.DUMMYFUNCTION("IMPORTRANGE(""https://docs.google.com/spreadsheets/d/1SX6NBoVAgQJ6U1MVXOaj8PK2l7WJ3RER9xtqwdhxkhw/edit#gid=346597447"",""ตราด!I558"")"),0)</f>
        <v>0</v>
      </c>
      <c r="J663" s="537">
        <f ca="1">IFERROR(__xludf.DUMMYFUNCTION("IMPORTRANGE(""https://docs.google.com/spreadsheets/d/1SX6NBoVAgQJ6U1MVXOaj8PK2l7WJ3RER9xtqwdhxkhw/edit#gid=346597447"",""ตราด!J558"")"),0)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IFERROR(__xludf.DUMMYFUNCTION("IMPORTRANGE(""https://docs.google.com/spreadsheets/d/1SX6NBoVAgQJ6U1MVXOaj8PK2l7WJ3RER9xtqwdhxkhw/edit#gid=346597447"",""ตราด!I560"")"),0)</f>
        <v>0</v>
      </c>
      <c r="J665" s="537">
        <f ca="1">IFERROR(__xludf.DUMMYFUNCTION("IMPORTRANGE(""https://docs.google.com/spreadsheets/d/1SX6NBoVAgQJ6U1MVXOaj8PK2l7WJ3RER9xtqwdhxkhw/edit#gid=346597447"",""ตราด!J560"")"),0)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IFERROR(__xludf.DUMMYFUNCTION("IMPORTRANGE(""https://docs.google.com/spreadsheets/d/1SX6NBoVAgQJ6U1MVXOaj8PK2l7WJ3RER9xtqwdhxkhw/edit#gid=346597447"",""ตราด!L560"")"),0)</f>
        <v>0</v>
      </c>
      <c r="M665" s="522"/>
      <c r="N665" s="539">
        <f ca="1">IFERROR(__xludf.DUMMYFUNCTION("IMPORTRANGE(""https://docs.google.com/spreadsheets/d/1SX6NBoVAgQJ6U1MVXOaj8PK2l7WJ3RER9xtqwdhxkhw/edit#gid=346597447"",""ตราด!M560"")"),0)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IFERROR(__xludf.DUMMYFUNCTION("IMPORTRANGE(""https://docs.google.com/spreadsheets/d/1SX6NBoVAgQJ6U1MVXOaj8PK2l7WJ3RER9xtqwdhxkhw/edit#gid=346597447"",""ตราด!J561"")"),0)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IFERROR(__xludf.DUMMYFUNCTION("IMPORTRANGE(""https://docs.google.com/spreadsheets/d/1SX6NBoVAgQJ6U1MVXOaj8PK2l7WJ3RER9xtqwdhxkhw/edit#gid=346597447"",""ตราด!J562"")"),0)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IFERROR(__xludf.DUMMYFUNCTION("IMPORTRANGE(""https://docs.google.com/spreadsheets/d/1SX6NBoVAgQJ6U1MVXOaj8PK2l7WJ3RER9xtqwdhxkhw/edit#gid=346597447"",""ตราด!I563"")"),0)</f>
        <v>0</v>
      </c>
      <c r="J668" s="537">
        <f ca="1">IFERROR(__xludf.DUMMYFUNCTION("IMPORTRANGE(""https://docs.google.com/spreadsheets/d/1SX6NBoVAgQJ6U1MVXOaj8PK2l7WJ3RER9xtqwdhxkhw/edit#gid=346597447"",""ตราด!J563"")"),0)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IFERROR(__xludf.DUMMYFUNCTION("IMPORTRANGE(""https://docs.google.com/spreadsheets/d/1SX6NBoVAgQJ6U1MVXOaj8PK2l7WJ3RER9xtqwdhxkhw/edit#gid=346597447"",""ตราด!L563"")"),0)</f>
        <v>0</v>
      </c>
      <c r="M668" s="522"/>
      <c r="N668" s="539">
        <f ca="1">IFERROR(__xludf.DUMMYFUNCTION("IMPORTRANGE(""https://docs.google.com/spreadsheets/d/1SX6NBoVAgQJ6U1MVXOaj8PK2l7WJ3RER9xtqwdhxkhw/edit#gid=346597447"",""ตราด!M563"")"),0)</f>
        <v>0</v>
      </c>
      <c r="O668" s="538">
        <f ca="1">IF(L668&gt;0,N668*100/L668,0)</f>
        <v>0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IFERROR(__xludf.DUMMYFUNCTION("IMPORTRANGE(""https://docs.google.com/spreadsheets/d/1SX6NBoVAgQJ6U1MVXOaj8PK2l7WJ3RER9xtqwdhxkhw/edit#gid=346597447"",""ตราด!J564"")"),0)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IFERROR(__xludf.DUMMYFUNCTION("IMPORTRANGE(""https://docs.google.com/spreadsheets/d/1SX6NBoVAgQJ6U1MVXOaj8PK2l7WJ3RER9xtqwdhxkhw/edit#gid=346597447"",""ตราด!J565"")"),0)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IFERROR(__xludf.DUMMYFUNCTION("IMPORTRANGE(""https://docs.google.com/spreadsheets/d/1SX6NBoVAgQJ6U1MVXOaj8PK2l7WJ3RER9xtqwdhxkhw/edit#gid=346597447"",""ตราด!I566"")"),0)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IFERROR(__xludf.DUMMYFUNCTION("IMPORTRANGE(""https://docs.google.com/spreadsheets/d/1SX6NBoVAgQJ6U1MVXOaj8PK2l7WJ3RER9xtqwdhxkhw/edit#gid=346597447"",""ตราด!L566"")"),0)</f>
        <v>0</v>
      </c>
      <c r="M671" s="522"/>
      <c r="N671" s="539">
        <f ca="1">IFERROR(__xludf.DUMMYFUNCTION("IMPORTRANGE(""https://docs.google.com/spreadsheets/d/1SX6NBoVAgQJ6U1MVXOaj8PK2l7WJ3RER9xtqwdhxkhw/edit#gid=346597447"",""ตราด!M566"")"),0)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IFERROR(__xludf.DUMMYFUNCTION("IMPORTRANGE(""https://docs.google.com/spreadsheets/d/1SX6NBoVAgQJ6U1MVXOaj8PK2l7WJ3RER9xtqwdhxkhw/edit#gid=346597447"",""ตราด!J567"")"),0)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IFERROR(__xludf.DUMMYFUNCTION("IMPORTRANGE(""https://docs.google.com/spreadsheets/d/1SX6NBoVAgQJ6U1MVXOaj8PK2l7WJ3RER9xtqwdhxkhw/edit#gid=346597447"",""ตราด!J568"")"),0)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IFERROR(__xludf.DUMMYFUNCTION("IMPORTRANGE(""https://docs.google.com/spreadsheets/d/1SX6NBoVAgQJ6U1MVXOaj8PK2l7WJ3RER9xtqwdhxkhw/edit#gid=346597447"",""ตราด!J569"")"),0)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IFERROR(__xludf.DUMMYFUNCTION("IMPORTRANGE(""https://docs.google.com/spreadsheets/d/1SX6NBoVAgQJ6U1MVXOaj8PK2l7WJ3RER9xtqwdhxkhw/edit#gid=346597447"",""ตราด!J570"")"),0)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IFERROR(__xludf.DUMMYFUNCTION("IMPORTRANGE(""https://docs.google.com/spreadsheets/d/1SX6NBoVAgQJ6U1MVXOaj8PK2l7WJ3RER9xtqwdhxkhw/edit#gid=346597447"",""ตราด!J571"")"),0)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IFERROR(__xludf.DUMMYFUNCTION("IMPORTRANGE(""https://docs.google.com/spreadsheets/d/1SX6NBoVAgQJ6U1MVXOaj8PK2l7WJ3RER9xtqwdhxkhw/edit#gid=346597447"",""ตราด!J572"")"),0)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3174690</v>
      </c>
      <c r="M8" s="23">
        <f t="shared" ca="1" si="0"/>
        <v>2467803</v>
      </c>
      <c r="N8" s="23">
        <f t="shared" ca="1" si="0"/>
        <v>2310858.37</v>
      </c>
      <c r="O8" s="22">
        <f t="shared" ref="O8:O16" ca="1" si="1">IF(L8&gt;0,N8*100/L8,0)</f>
        <v>72.790047847191374</v>
      </c>
      <c r="P8" s="22">
        <f t="shared" ref="P8:P16" ca="1" si="2">IF(M8&gt;0,N8*100/M8,0)</f>
        <v>93.640309619527983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3174690</v>
      </c>
      <c r="M10" s="30">
        <f t="shared" ca="1" si="4"/>
        <v>2467803</v>
      </c>
      <c r="N10" s="30">
        <f t="shared" ca="1" si="4"/>
        <v>2310858.37</v>
      </c>
      <c r="O10" s="29">
        <f t="shared" ca="1" si="1"/>
        <v>72.790047847191374</v>
      </c>
      <c r="P10" s="29">
        <f t="shared" ca="1" si="2"/>
        <v>93.640309619527983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3136890</v>
      </c>
      <c r="M12" s="38">
        <f t="shared" ca="1" si="6"/>
        <v>2430003</v>
      </c>
      <c r="N12" s="38">
        <f t="shared" ca="1" si="6"/>
        <v>2273058.37</v>
      </c>
      <c r="O12" s="38">
        <f t="shared" ca="1" si="1"/>
        <v>72.462163799176892</v>
      </c>
      <c r="P12" s="38">
        <f t="shared" ca="1" si="2"/>
        <v>93.541381224632232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1817900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1318990</v>
      </c>
      <c r="M14" s="38">
        <f t="shared" si="8"/>
        <v>0</v>
      </c>
      <c r="N14" s="38">
        <f t="shared" ca="1" si="8"/>
        <v>544520</v>
      </c>
      <c r="O14" s="38">
        <f t="shared" ca="1" si="1"/>
        <v>41.283102980310694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2387880</v>
      </c>
      <c r="M18" s="23">
        <f t="shared" ca="1" si="11"/>
        <v>2467803</v>
      </c>
      <c r="N18" s="23">
        <f t="shared" ca="1" si="11"/>
        <v>1766338.37</v>
      </c>
      <c r="O18" s="22">
        <f t="shared" ref="O18:O20" ca="1" si="12">IF(L18&gt;0,N18*100/L18,0)</f>
        <v>73.970985560413425</v>
      </c>
      <c r="P18" s="22">
        <f t="shared" ref="P18:P26" ca="1" si="13">IF(M18&gt;0,N18*100/M18,0)</f>
        <v>71.575339279512988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2387880</v>
      </c>
      <c r="M20" s="30">
        <f t="shared" ca="1" si="15"/>
        <v>2467803</v>
      </c>
      <c r="N20" s="30">
        <f t="shared" ca="1" si="15"/>
        <v>1766338.37</v>
      </c>
      <c r="O20" s="29">
        <f t="shared" ca="1" si="12"/>
        <v>73.970985560413425</v>
      </c>
      <c r="P20" s="29">
        <f t="shared" ca="1" si="13"/>
        <v>71.575339279512988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2350080</v>
      </c>
      <c r="M22" s="41">
        <f t="shared" ca="1" si="18"/>
        <v>2430003</v>
      </c>
      <c r="N22" s="38">
        <f t="shared" ca="1" si="18"/>
        <v>1728538.37</v>
      </c>
      <c r="O22" s="38">
        <f t="shared" ca="1" si="17"/>
        <v>73.552320346541393</v>
      </c>
      <c r="P22" s="38">
        <f t="shared" ca="1" si="13"/>
        <v>71.133178436405217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1817900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532180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786810</v>
      </c>
      <c r="M28" s="23">
        <f t="shared" si="23"/>
        <v>0</v>
      </c>
      <c r="N28" s="23">
        <f t="shared" ca="1" si="23"/>
        <v>544520</v>
      </c>
      <c r="O28" s="22">
        <f t="shared" ref="O28:O30" ca="1" si="24">IF(L28&gt;0,N28*100/L28,0)</f>
        <v>69.206034493715123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786810</v>
      </c>
      <c r="M30" s="30">
        <f t="shared" si="27"/>
        <v>0</v>
      </c>
      <c r="N30" s="30">
        <f t="shared" ca="1" si="27"/>
        <v>544520</v>
      </c>
      <c r="O30" s="29">
        <f t="shared" ca="1" si="24"/>
        <v>69.206034493715123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786810</v>
      </c>
      <c r="M32" s="38">
        <f t="shared" si="30"/>
        <v>0</v>
      </c>
      <c r="N32" s="38">
        <f t="shared" ca="1" si="30"/>
        <v>544520</v>
      </c>
      <c r="O32" s="38">
        <f t="shared" ca="1" si="29"/>
        <v>69.206034493715123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786810</v>
      </c>
      <c r="M34" s="38">
        <f t="shared" si="32"/>
        <v>0</v>
      </c>
      <c r="N34" s="38">
        <f t="shared" ca="1" si="32"/>
        <v>544520</v>
      </c>
      <c r="O34" s="38">
        <f t="shared" ca="1" si="29"/>
        <v>69.206034493715123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2387880</v>
      </c>
      <c r="M37" s="54">
        <f t="shared" ca="1" si="33"/>
        <v>2467803</v>
      </c>
      <c r="N37" s="54">
        <f t="shared" ca="1" si="33"/>
        <v>1766338.37</v>
      </c>
      <c r="O37" s="55">
        <f t="shared" ca="1" si="29"/>
        <v>73.970985560413425</v>
      </c>
      <c r="P37" s="55">
        <f t="shared" ca="1" si="25"/>
        <v>71.575339279512988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691600</v>
      </c>
      <c r="N41" s="78">
        <f t="shared" ca="1" si="34"/>
        <v>511282.62</v>
      </c>
      <c r="O41" s="77">
        <f t="shared" ref="O41:O43" ca="1" si="35">IF(L41&gt;0,N41*100/L41,0)</f>
        <v>79.379385188635311</v>
      </c>
      <c r="P41" s="77">
        <f t="shared" ref="P41:P43" ca="1" si="36">IF(M41&gt;0,N41*100/M41,0)</f>
        <v>73.927504337767502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691600</v>
      </c>
      <c r="N43" s="78">
        <f t="shared" ca="1" si="38"/>
        <v>511282.62</v>
      </c>
      <c r="O43" s="77">
        <f t="shared" ca="1" si="35"/>
        <v>79.379385188635311</v>
      </c>
      <c r="P43" s="77">
        <f t="shared" ca="1" si="36"/>
        <v>73.927504337767502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644100</v>
      </c>
      <c r="M45" s="49">
        <f ca="1">IFERROR(__xludf.DUMMYFUNCTION("IMPORTRANGE(""https://docs.google.com/spreadsheets/d/1Yj_ptqi66GCucihVvJfMjLAmec39IyEx_6qawtMGysU/edit?usp=sharing"",""สบก!Q65"")"),691600)</f>
        <v>691600</v>
      </c>
      <c r="N45" s="49">
        <f ca="1">IFERROR(__xludf.DUMMYFUNCTION("IMPORTRANGE(""https://docs.google.com/spreadsheets/d/1Yj_ptqi66GCucihVvJfMjLAmec39IyEx_6qawtMGysU/edit?usp=sharing"",""สบก!R65"")"),511282.62)</f>
        <v>511282.62</v>
      </c>
      <c r="O45" s="38">
        <f ca="1">IF(L45&gt;0,N45*100/L45,0)</f>
        <v>79.379385188635311</v>
      </c>
      <c r="P45" s="38">
        <f ca="1">IF(M45&gt;0,N45*100/M45,0)</f>
        <v>73.927504337767502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IFERROR(__xludf.DUMMYFUNCTION("IMPORTRANGE(""https://docs.google.com/spreadsheets/d/1Yj_ptqi66GCucihVvJfMjLAmec39IyEx_6qawtMGysU/edit?usp=sharing"",""สบก!M65"")"),644100)</f>
        <v>644100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IFERROR(__xludf.DUMMYFUNCTION("IMPORTRANGE(""https://docs.google.com/spreadsheets/d/1Yj_ptqi66GCucihVvJfMjLAmec39IyEx_6qawtMGysU/edit?usp=sharing"",""สบก!N65"")"),0)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IFERROR(__xludf.DUMMYFUNCTION("IMPORTRANGE(""https://docs.google.com/spreadsheets/d/1Yj_ptqi66GCucihVvJfMjLAmec39IyEx_6qawtMGysU/edit?usp=sharing"",""สบก!O65"")"),0)</f>
        <v>0</v>
      </c>
      <c r="M49" s="49"/>
      <c r="N49" s="49">
        <f ca="1">IFERROR(__xludf.DUMMYFUNCTION("IMPORTRANGE(""https://docs.google.com/spreadsheets/d/1Yj_ptqi66GCucihVvJfMjLAmec39IyEx_6qawtMGysU/edit?usp=sharing"",""สบก!S65"")"),0)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339600</v>
      </c>
      <c r="M53" s="121">
        <f t="shared" ca="1" si="39"/>
        <v>331023</v>
      </c>
      <c r="N53" s="121">
        <f t="shared" ca="1" si="39"/>
        <v>233523</v>
      </c>
      <c r="O53" s="120">
        <f t="shared" ref="O53:O55" ca="1" si="40">IF(L53&gt;0,N53*100/L53,0)</f>
        <v>68.764134275618375</v>
      </c>
      <c r="P53" s="120">
        <f t="shared" ref="P53:P55" ca="1" si="41">IF(M53&gt;0,N53*100/M53,0)</f>
        <v>70.54585330928667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339600</v>
      </c>
      <c r="M55" s="121">
        <f t="shared" ca="1" si="43"/>
        <v>331023</v>
      </c>
      <c r="N55" s="121">
        <f t="shared" ca="1" si="43"/>
        <v>233523</v>
      </c>
      <c r="O55" s="120">
        <f t="shared" ca="1" si="40"/>
        <v>68.764134275618375</v>
      </c>
      <c r="P55" s="120">
        <f t="shared" ca="1" si="41"/>
        <v>70.54585330928667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339600</v>
      </c>
      <c r="M57" s="49">
        <f ca="1">IFERROR(__xludf.DUMMYFUNCTION("IMPORTRANGE(""https://docs.google.com/spreadsheets/d/1Yj_ptqi66GCucihVvJfMjLAmec39IyEx_6qawtMGysU/edit?usp=sharing"",""สบก!Z65"")"),331023)</f>
        <v>331023</v>
      </c>
      <c r="N57" s="49">
        <f ca="1">IFERROR(__xludf.DUMMYFUNCTION("IMPORTRANGE(""https://docs.google.com/spreadsheets/d/1Yj_ptqi66GCucihVvJfMjLAmec39IyEx_6qawtMGysU/edit?usp=sharing"",""สบก!AA65"")"),233523)</f>
        <v>233523</v>
      </c>
      <c r="O57" s="38">
        <f ca="1">IF(L57&gt;0,N57*100/L57,0)</f>
        <v>68.764134275618375</v>
      </c>
      <c r="P57" s="38">
        <f ca="1">IF(M57&gt;0,N57*100/M57,0)</f>
        <v>70.54585330928667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IFERROR(__xludf.DUMMYFUNCTION("IMPORTRANGE(""https://docs.google.com/spreadsheets/d/1Yj_ptqi66GCucihVvJfMjLAmec39IyEx_6qawtMGysU/edit?usp=sharing"",""สบก!V65"")"),339600)</f>
        <v>339600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IFERROR(__xludf.DUMMYFUNCTION("IMPORTRANGE(""https://docs.google.com/spreadsheets/d/1Yj_ptqi66GCucihVvJfMjLAmec39IyEx_6qawtMGysU/edit?usp=sharing"",""สบก!W65"")"),0)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IFERROR(__xludf.DUMMYFUNCTION("IMPORTRANGE(""https://docs.google.com/spreadsheets/d/1Yj_ptqi66GCucihVvJfMjLAmec39IyEx_6qawtMGysU/edit?usp=sharing"",""สบก!X65"")"),0)</f>
        <v>0</v>
      </c>
      <c r="M61" s="49"/>
      <c r="N61" s="49">
        <f ca="1">IFERROR(__xludf.DUMMYFUNCTION("IMPORTRANGE(""https://docs.google.com/spreadsheets/d/1Yj_ptqi66GCucihVvJfMjLAmec39IyEx_6qawtMGysU/edit?usp=sharing"",""สบก!AB65"")"),0)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IFERROR(__xludf.DUMMYFUNCTION("IMPORTRANGE(""https://docs.google.com/spreadsheets/d/1SX6NBoVAgQJ6U1MVXOaj8PK2l7WJ3RER9xtqwdhxkhw/edit?usp=sharing"",""นครนายก!I9"")"),0)</f>
        <v>0</v>
      </c>
      <c r="J64" s="142">
        <f ca="1">IFERROR(__xludf.DUMMYFUNCTION("IMPORTRANGE(""https://docs.google.com/spreadsheets/d/1SX6NBoVAgQJ6U1MVXOaj8PK2l7WJ3RER9xtqwdhxkhw/edit?usp=sharing"",""นครนายก!J9"")"),0)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IFERROR(__xludf.DUMMYFUNCTION("IMPORTRANGE(""https://docs.google.com/spreadsheets/d/1SX6NBoVAgQJ6U1MVXOaj8PK2l7WJ3RER9xtqwdhxkhw/edit?usp=sharing"",""นครนายก!I10"")"),0)</f>
        <v>0</v>
      </c>
      <c r="J65" s="142">
        <f ca="1">IFERROR(__xludf.DUMMYFUNCTION("IMPORTRANGE(""https://docs.google.com/spreadsheets/d/1SX6NBoVAgQJ6U1MVXOaj8PK2l7WJ3RER9xtqwdhxkhw/edit?usp=sharing"",""นครนายก!J10"")"),0)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7000</v>
      </c>
      <c r="N66" s="152">
        <f t="shared" ca="1" si="45"/>
        <v>3150</v>
      </c>
      <c r="O66" s="151">
        <f t="shared" ref="O66:O68" ca="1" si="46">IF(L66&gt;0,N66*100/L66,0)</f>
        <v>0</v>
      </c>
      <c r="P66" s="151">
        <f t="shared" ref="P66:P68" ca="1" si="47">IF(M66&gt;0,N66*100/M66,0)</f>
        <v>45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7000</v>
      </c>
      <c r="N68" s="157">
        <f t="shared" ca="1" si="49"/>
        <v>3150</v>
      </c>
      <c r="O68" s="156">
        <f t="shared" ca="1" si="46"/>
        <v>0</v>
      </c>
      <c r="P68" s="156">
        <f t="shared" ca="1" si="47"/>
        <v>45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IFERROR(__xludf.DUMMYFUNCTION("IMPORTRANGE(""https://docs.google.com/spreadsheets/d/1Yj_ptqi66GCucihVvJfMjLAmec39IyEx_6qawtMGysU/edit?usp=sharing"",""สบก!AI65"")"),7000)</f>
        <v>7000</v>
      </c>
      <c r="N70" s="169">
        <f ca="1">IFERROR(__xludf.DUMMYFUNCTION("IMPORTRANGE(""https://docs.google.com/spreadsheets/d/1Yj_ptqi66GCucihVvJfMjLAmec39IyEx_6qawtMGysU/edit?usp=sharing"",""สบก!AJ65"")"),3150)</f>
        <v>3150</v>
      </c>
      <c r="O70" s="169">
        <f ca="1">IF(L70&gt;0,N70*100/L70,0)</f>
        <v>0</v>
      </c>
      <c r="P70" s="169">
        <f ca="1">IF(M70&gt;0,N70*100/M70,0)</f>
        <v>45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IFERROR(__xludf.DUMMYFUNCTION("IMPORTRANGE(""https://docs.google.com/spreadsheets/d/1Yj_ptqi66GCucihVvJfMjLAmec39IyEx_6qawtMGysU/edit?usp=sharing"",""สบก!AE65"")"),0)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IFERROR(__xludf.DUMMYFUNCTION("IMPORTRANGE(""https://docs.google.com/spreadsheets/d/1Yj_ptqi66GCucihVvJfMjLAmec39IyEx_6qawtMGysU/edit?usp=sharing"",""สบก!AF65"")"),0)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IFERROR(__xludf.DUMMYFUNCTION("IMPORTRANGE(""https://docs.google.com/spreadsheets/d/1Yj_ptqi66GCucihVvJfMjLAmec39IyEx_6qawtMGysU/edit?usp=sharing"",""สบก!AG65"")"),0)</f>
        <v>0</v>
      </c>
      <c r="M74" s="49"/>
      <c r="N74" s="49">
        <f ca="1">IFERROR(__xludf.DUMMYFUNCTION("IMPORTRANGE(""https://docs.google.com/spreadsheets/d/1Yj_ptqi66GCucihVvJfMjLAmec39IyEx_6qawtMGysU/edit?usp=sharing"",""สบก!AK65"")"),0)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IFERROR(__xludf.DUMMYFUNCTION("IMPORTRANGE(""https://docs.google.com/spreadsheets/d/1SX6NBoVAgQJ6U1MVXOaj8PK2l7WJ3RER9xtqwdhxkhw/edit?usp=sharing"",""นครนายก!J16"")"),0)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IFERROR(__xludf.DUMMYFUNCTION("IMPORTRANGE(""https://docs.google.com/spreadsheets/d/1SX6NBoVAgQJ6U1MVXOaj8PK2l7WJ3RER9xtqwdhxkhw/edit?usp=sharing"",""นครนายก!J17"")"),0)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IFERROR(__xludf.DUMMYFUNCTION("IMPORTRANGE(""https://docs.google.com/spreadsheets/d/1SX6NBoVAgQJ6U1MVXOaj8PK2l7WJ3RER9xtqwdhxkhw/edit?usp=sharing"",""นครนายก!J18"")"),0)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IFERROR(__xludf.DUMMYFUNCTION("IMPORTRANGE(""https://docs.google.com/spreadsheets/d/1SX6NBoVAgQJ6U1MVXOaj8PK2l7WJ3RER9xtqwdhxkhw/edit?usp=sharing"",""นครนายก!J19"")"),0)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IFERROR(__xludf.DUMMYFUNCTION("IMPORTRANGE(""https://docs.google.com/spreadsheets/d/1SX6NBoVAgQJ6U1MVXOaj8PK2l7WJ3RER9xtqwdhxkhw/edit?usp=sharing"",""นครนายก!I20"")"),0)</f>
        <v>0</v>
      </c>
      <c r="J80" s="201">
        <f ca="1">IFERROR(__xludf.DUMMYFUNCTION("IMPORTRANGE(""https://docs.google.com/spreadsheets/d/1SX6NBoVAgQJ6U1MVXOaj8PK2l7WJ3RER9xtqwdhxkhw/edit?usp=sharing"",""นครนายก!J20"")"),0)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IFERROR(__xludf.DUMMYFUNCTION("IMPORTRANGE(""https://docs.google.com/spreadsheets/d/1SX6NBoVAgQJ6U1MVXOaj8PK2l7WJ3RER9xtqwdhxkhw/edit?usp=sharing"",""นครนายก!I21"")"),0)</f>
        <v>0</v>
      </c>
      <c r="J81" s="201">
        <f ca="1">IFERROR(__xludf.DUMMYFUNCTION("IMPORTRANGE(""https://docs.google.com/spreadsheets/d/1SX6NBoVAgQJ6U1MVXOaj8PK2l7WJ3RER9xtqwdhxkhw/edit?usp=sharing"",""นครนายก!J21"")"),0)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IFERROR(__xludf.DUMMYFUNCTION("IMPORTRANGE(""https://docs.google.com/spreadsheets/d/1SX6NBoVAgQJ6U1MVXOaj8PK2l7WJ3RER9xtqwdhxkhw/edit?usp=sharing"",""นครนายก!I22"")"),0)</f>
        <v>0</v>
      </c>
      <c r="J82" s="204">
        <f ca="1">IFERROR(__xludf.DUMMYFUNCTION("IMPORTRANGE(""https://docs.google.com/spreadsheets/d/1SX6NBoVAgQJ6U1MVXOaj8PK2l7WJ3RER9xtqwdhxkhw/edit?usp=sharing"",""นครนายก!J22"")"),0)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IFERROR(__xludf.DUMMYFUNCTION("IMPORTRANGE(""https://docs.google.com/spreadsheets/d/1SX6NBoVAgQJ6U1MVXOaj8PK2l7WJ3RER9xtqwdhxkhw/edit?usp=sharing"",""นครนายก!I23"")"),0)</f>
        <v>0</v>
      </c>
      <c r="J83" s="204">
        <f ca="1">IFERROR(__xludf.DUMMYFUNCTION("IMPORTRANGE(""https://docs.google.com/spreadsheets/d/1SX6NBoVAgQJ6U1MVXOaj8PK2l7WJ3RER9xtqwdhxkhw/edit?usp=sharing"",""นครนายก!J23"")"),0)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IFERROR(__xludf.DUMMYFUNCTION("IMPORTRANGE(""https://docs.google.com/spreadsheets/d/1SX6NBoVAgQJ6U1MVXOaj8PK2l7WJ3RER9xtqwdhxkhw/edit?usp=sharing"",""นครนายก!I24"")"),0)</f>
        <v>0</v>
      </c>
      <c r="J84" s="189">
        <f ca="1">IFERROR(__xludf.DUMMYFUNCTION("IMPORTRANGE(""https://docs.google.com/spreadsheets/d/1SX6NBoVAgQJ6U1MVXOaj8PK2l7WJ3RER9xtqwdhxkhw/edit?usp=sharing"",""นครนายก!J24"")"),0)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IFERROR(__xludf.DUMMYFUNCTION("IMPORTRANGE(""https://docs.google.com/spreadsheets/d/1SX6NBoVAgQJ6U1MVXOaj8PK2l7WJ3RER9xtqwdhxkhw/edit?usp=sharing"",""นครนายก!I25"")"),0)</f>
        <v>0</v>
      </c>
      <c r="J85" s="189">
        <f ca="1">IFERROR(__xludf.DUMMYFUNCTION("IMPORTRANGE(""https://docs.google.com/spreadsheets/d/1SX6NBoVAgQJ6U1MVXOaj8PK2l7WJ3RER9xtqwdhxkhw/edit?usp=sharing"",""นครนายก!J25"")"),0)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IFERROR(__xludf.DUMMYFUNCTION("IMPORTRANGE(""https://docs.google.com/spreadsheets/d/1SX6NBoVAgQJ6U1MVXOaj8PK2l7WJ3RER9xtqwdhxkhw/edit?usp=sharing"",""นครนายก!I26"")"),0)</f>
        <v>0</v>
      </c>
      <c r="J86" s="204">
        <f ca="1">IFERROR(__xludf.DUMMYFUNCTION("IMPORTRANGE(""https://docs.google.com/spreadsheets/d/1SX6NBoVAgQJ6U1MVXOaj8PK2l7WJ3RER9xtqwdhxkhw/edit?usp=sharing"",""นครนายก!J26"")"),0)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IFERROR(__xludf.DUMMYFUNCTION("IMPORTRANGE(""https://docs.google.com/spreadsheets/d/1SX6NBoVAgQJ6U1MVXOaj8PK2l7WJ3RER9xtqwdhxkhw/edit?usp=sharing"",""นครนายก!I27"")"),0)</f>
        <v>0</v>
      </c>
      <c r="J87" s="204">
        <f ca="1">IFERROR(__xludf.DUMMYFUNCTION("IMPORTRANGE(""https://docs.google.com/spreadsheets/d/1SX6NBoVAgQJ6U1MVXOaj8PK2l7WJ3RER9xtqwdhxkhw/edit?usp=sharing"",""นครนายก!J27"")"),0)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IFERROR(__xludf.DUMMYFUNCTION("IMPORTRANGE(""https://docs.google.com/spreadsheets/d/1SX6NBoVAgQJ6U1MVXOaj8PK2l7WJ3RER9xtqwdhxkhw/edit?usp=sharing"",""นครนายก!I28"")"),0)</f>
        <v>0</v>
      </c>
      <c r="J88" s="204">
        <f ca="1">IFERROR(__xludf.DUMMYFUNCTION("IMPORTRANGE(""https://docs.google.com/spreadsheets/d/1SX6NBoVAgQJ6U1MVXOaj8PK2l7WJ3RER9xtqwdhxkhw/edit?usp=sharing"",""นครนายก!J28"")"),0)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IFERROR(__xludf.DUMMYFUNCTION("IMPORTRANGE(""https://docs.google.com/spreadsheets/d/1SX6NBoVAgQJ6U1MVXOaj8PK2l7WJ3RER9xtqwdhxkhw/edit?usp=sharing"",""นครนายก!J29"")"),0)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IFERROR(__xludf.DUMMYFUNCTION("IMPORTRANGE(""https://docs.google.com/spreadsheets/d/1SX6NBoVAgQJ6U1MVXOaj8PK2l7WJ3RER9xtqwdhxkhw/edit?usp=sharing"",""นครนายก!J30"")"),0)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IFERROR(__xludf.DUMMYFUNCTION("IMPORTRANGE(""https://docs.google.com/spreadsheets/d/1SX6NBoVAgQJ6U1MVXOaj8PK2l7WJ3RER9xtqwdhxkhw/edit?usp=sharing"",""นครนายก!I32"")"),0)</f>
        <v>0</v>
      </c>
      <c r="J92" s="142">
        <f ca="1">IFERROR(__xludf.DUMMYFUNCTION("IMPORTRANGE(""https://docs.google.com/spreadsheets/d/1SX6NBoVAgQJ6U1MVXOaj8PK2l7WJ3RER9xtqwdhxkhw/edit?usp=sharing"",""นครนายก!J32"")"),0)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IFERROR(__xludf.DUMMYFUNCTION("IMPORTRANGE(""https://docs.google.com/spreadsheets/d/1SX6NBoVAgQJ6U1MVXOaj8PK2l7WJ3RER9xtqwdhxkhw/edit?usp=sharing"",""นครนายก!I33"")"),0)</f>
        <v>0</v>
      </c>
      <c r="J93" s="142">
        <f ca="1">IFERROR(__xludf.DUMMYFUNCTION("IMPORTRANGE(""https://docs.google.com/spreadsheets/d/1SX6NBoVAgQJ6U1MVXOaj8PK2l7WJ3RER9xtqwdhxkhw/edit?usp=sharing"",""นครนายก!J33"")"),0)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IFERROR(__xludf.DUMMYFUNCTION("IMPORTRANGE(""https://docs.google.com/spreadsheets/d/1Yj_ptqi66GCucihVvJfMjLAmec39IyEx_6qawtMGysU/edit?usp=sharing"",""สบก!AR65"")"),0)</f>
        <v>0</v>
      </c>
      <c r="N98" s="169">
        <f ca="1">IFERROR(__xludf.DUMMYFUNCTION("IMPORTRANGE(""https://docs.google.com/spreadsheets/d/1Yj_ptqi66GCucihVvJfMjLAmec39IyEx_6qawtMGysU/edit?usp=sharing"",""สบก!AS65"")"),0)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IFERROR(__xludf.DUMMYFUNCTION("IMPORTRANGE(""https://docs.google.com/spreadsheets/d/1Yj_ptqi66GCucihVvJfMjLAmec39IyEx_6qawtMGysU/edit?usp=sharing"",""สบก!AP65"")"),0)</f>
        <v>0</v>
      </c>
      <c r="M102" s="49"/>
      <c r="N102" s="49">
        <f ca="1">IFERROR(__xludf.DUMMYFUNCTION("IMPORTRANGE(""https://docs.google.com/spreadsheets/d/1Yj_ptqi66GCucihVvJfMjLAmec39IyEx_6qawtMGysU/edit?usp=sharing"",""สบก!AT65"")"),0)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IFERROR(__xludf.DUMMYFUNCTION("IMPORTRANGE(""https://docs.google.com/spreadsheets/d/1SX6NBoVAgQJ6U1MVXOaj8PK2l7WJ3RER9xtqwdhxkhw/edit?usp=sharing"",""นครนายก!J39"")"),0)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IFERROR(__xludf.DUMMYFUNCTION("IMPORTRANGE(""https://docs.google.com/spreadsheets/d/1SX6NBoVAgQJ6U1MVXOaj8PK2l7WJ3RER9xtqwdhxkhw/edit?usp=sharing"",""นครนายก!J40"")"),0)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IFERROR(__xludf.DUMMYFUNCTION("IMPORTRANGE(""https://docs.google.com/spreadsheets/d/1SX6NBoVAgQJ6U1MVXOaj8PK2l7WJ3RER9xtqwdhxkhw/edit?usp=sharing"",""นครนายก!J41"")"),0)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IFERROR(__xludf.DUMMYFUNCTION("IMPORTRANGE(""https://docs.google.com/spreadsheets/d/1SX6NBoVAgQJ6U1MVXOaj8PK2l7WJ3RER9xtqwdhxkhw/edit?usp=sharing"",""นครนายก!J42"")"),0)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IFERROR(__xludf.DUMMYFUNCTION("IMPORTRANGE(""https://docs.google.com/spreadsheets/d/1SX6NBoVAgQJ6U1MVXOaj8PK2l7WJ3RER9xtqwdhxkhw/edit?usp=sharing"",""นครนายก!I43"")"),0)</f>
        <v>0</v>
      </c>
      <c r="J108" s="204">
        <f ca="1">IFERROR(__xludf.DUMMYFUNCTION("IMPORTRANGE(""https://docs.google.com/spreadsheets/d/1SX6NBoVAgQJ6U1MVXOaj8PK2l7WJ3RER9xtqwdhxkhw/edit?usp=sharing"",""นครนายก!J43"")"),0)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IFERROR(__xludf.DUMMYFUNCTION("IMPORTRANGE(""https://docs.google.com/spreadsheets/d/1SX6NBoVAgQJ6U1MVXOaj8PK2l7WJ3RER9xtqwdhxkhw/edit?usp=sharing"",""นครนายก!I44"")"),0)</f>
        <v>0</v>
      </c>
      <c r="J109" s="204">
        <f ca="1">IFERROR(__xludf.DUMMYFUNCTION("IMPORTRANGE(""https://docs.google.com/spreadsheets/d/1SX6NBoVAgQJ6U1MVXOaj8PK2l7WJ3RER9xtqwdhxkhw/edit?usp=sharing"",""นครนายก!J44"")"),0)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IFERROR(__xludf.DUMMYFUNCTION("IMPORTRANGE(""https://docs.google.com/spreadsheets/d/1SX6NBoVAgQJ6U1MVXOaj8PK2l7WJ3RER9xtqwdhxkhw/edit?usp=sharing"",""นครนายก!I45"")"),0)</f>
        <v>0</v>
      </c>
      <c r="J110" s="204">
        <f ca="1">IFERROR(__xludf.DUMMYFUNCTION("IMPORTRANGE(""https://docs.google.com/spreadsheets/d/1SX6NBoVAgQJ6U1MVXOaj8PK2l7WJ3RER9xtqwdhxkhw/edit?usp=sharing"",""นครนายก!J45"")"),0)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IFERROR(__xludf.DUMMYFUNCTION("IMPORTRANGE(""https://docs.google.com/spreadsheets/d/1SX6NBoVAgQJ6U1MVXOaj8PK2l7WJ3RER9xtqwdhxkhw/edit?usp=sharing"",""นครนายก!I46"")"),0)</f>
        <v>0</v>
      </c>
      <c r="J111" s="204">
        <f ca="1">IFERROR(__xludf.DUMMYFUNCTION("IMPORTRANGE(""https://docs.google.com/spreadsheets/d/1SX6NBoVAgQJ6U1MVXOaj8PK2l7WJ3RER9xtqwdhxkhw/edit?usp=sharing"",""นครนายก!J46"")"),0)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IFERROR(__xludf.DUMMYFUNCTION("IMPORTRANGE(""https://docs.google.com/spreadsheets/d/1SX6NBoVAgQJ6U1MVXOaj8PK2l7WJ3RER9xtqwdhxkhw/edit?usp=sharing"",""นครนายก!I47"")"),0)</f>
        <v>0</v>
      </c>
      <c r="J112" s="204">
        <f ca="1">IFERROR(__xludf.DUMMYFUNCTION("IMPORTRANGE(""https://docs.google.com/spreadsheets/d/1SX6NBoVAgQJ6U1MVXOaj8PK2l7WJ3RER9xtqwdhxkhw/edit?usp=sharing"",""นครนายก!J47"")"),0)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IFERROR(__xludf.DUMMYFUNCTION("IMPORTRANGE(""https://docs.google.com/spreadsheets/d/1SX6NBoVAgQJ6U1MVXOaj8PK2l7WJ3RER9xtqwdhxkhw/edit?usp=sharing"",""นครนายก!I48"")"),0)</f>
        <v>0</v>
      </c>
      <c r="J113" s="204">
        <f ca="1">IFERROR(__xludf.DUMMYFUNCTION("IMPORTRANGE(""https://docs.google.com/spreadsheets/d/1SX6NBoVAgQJ6U1MVXOaj8PK2l7WJ3RER9xtqwdhxkhw/edit?usp=sharing"",""นครนายก!J48"")"),0)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IFERROR(__xludf.DUMMYFUNCTION("IMPORTRANGE(""https://docs.google.com/spreadsheets/d/1SX6NBoVAgQJ6U1MVXOaj8PK2l7WJ3RER9xtqwdhxkhw/edit?usp=sharing"",""นครนายก!J49"")"),0)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IFERROR(__xludf.DUMMYFUNCTION("IMPORTRANGE(""https://docs.google.com/spreadsheets/d/1SX6NBoVAgQJ6U1MVXOaj8PK2l7WJ3RER9xtqwdhxkhw/edit?usp=sharing"",""นครนายก!J50"")"),0)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IFERROR(__xludf.DUMMYFUNCTION("IMPORTRANGE(""https://docs.google.com/spreadsheets/d/1SX6NBoVAgQJ6U1MVXOaj8PK2l7WJ3RER9xtqwdhxkhw/edit?usp=sharing"",""นครนายก!I52"")"),0)</f>
        <v>0</v>
      </c>
      <c r="J117" s="142">
        <f ca="1">IFERROR(__xludf.DUMMYFUNCTION("IMPORTRANGE(""https://docs.google.com/spreadsheets/d/1SX6NBoVAgQJ6U1MVXOaj8PK2l7WJ3RER9xtqwdhxkhw/edit?usp=sharing"",""นครนายก!J52"")"),0)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IFERROR(__xludf.DUMMYFUNCTION("IMPORTRANGE(""https://docs.google.com/spreadsheets/d/1Yj_ptqi66GCucihVvJfMjLAmec39IyEx_6qawtMGysU/edit?usp=sharing"",""สบก!BA65"")"),0)</f>
        <v>0</v>
      </c>
      <c r="N122" s="169">
        <f ca="1">IFERROR(__xludf.DUMMYFUNCTION("IMPORTRANGE(""https://docs.google.com/spreadsheets/d/1Yj_ptqi66GCucihVvJfMjLAmec39IyEx_6qawtMGysU/edit?usp=sharing"",""สบก!BB65"")"),0)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IFERROR(__xludf.DUMMYFUNCTION("IMPORTRANGE(""https://docs.google.com/spreadsheets/d/1Yj_ptqi66GCucihVvJfMjLAmec39IyEx_6qawtMGysU/edit?usp=sharing"",""สบก!AY65"")"),0)</f>
        <v>0</v>
      </c>
      <c r="M126" s="49"/>
      <c r="N126" s="49">
        <f ca="1">IFERROR(__xludf.DUMMYFUNCTION("IMPORTRANGE(""https://docs.google.com/spreadsheets/d/1Yj_ptqi66GCucihVvJfMjLAmec39IyEx_6qawtMGysU/edit?usp=sharing"",""สบก!BC65"")"),0)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IFERROR(__xludf.DUMMYFUNCTION("IMPORTRANGE(""https://docs.google.com/spreadsheets/d/1SX6NBoVAgQJ6U1MVXOaj8PK2l7WJ3RER9xtqwdhxkhw/edit?usp=sharing"",""นครนายก!J58"")"),0)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IFERROR(__xludf.DUMMYFUNCTION("IMPORTRANGE(""https://docs.google.com/spreadsheets/d/1SX6NBoVAgQJ6U1MVXOaj8PK2l7WJ3RER9xtqwdhxkhw/edit?usp=sharing"",""นครนายก!J59"")"),0)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IFERROR(__xludf.DUMMYFUNCTION("IMPORTRANGE(""https://docs.google.com/spreadsheets/d/1SX6NBoVAgQJ6U1MVXOaj8PK2l7WJ3RER9xtqwdhxkhw/edit?usp=sharing"",""นครนายก!J60"")"),0)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IFERROR(__xludf.DUMMYFUNCTION("IMPORTRANGE(""https://docs.google.com/spreadsheets/d/1SX6NBoVAgQJ6U1MVXOaj8PK2l7WJ3RER9xtqwdhxkhw/edit?usp=sharing"",""นครนายก!J61"")"),0)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IFERROR(__xludf.DUMMYFUNCTION("IMPORTRANGE(""https://docs.google.com/spreadsheets/d/1SX6NBoVAgQJ6U1MVXOaj8PK2l7WJ3RER9xtqwdhxkhw/edit?usp=sharing"",""นครนายก!I62"")"),0)</f>
        <v>0</v>
      </c>
      <c r="J132" s="204">
        <f ca="1">IFERROR(__xludf.DUMMYFUNCTION("IMPORTRANGE(""https://docs.google.com/spreadsheets/d/1SX6NBoVAgQJ6U1MVXOaj8PK2l7WJ3RER9xtqwdhxkhw/edit?usp=sharing"",""นครนายก!J62"")"),0)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IFERROR(__xludf.DUMMYFUNCTION("IMPORTRANGE(""https://docs.google.com/spreadsheets/d/1SX6NBoVAgQJ6U1MVXOaj8PK2l7WJ3RER9xtqwdhxkhw/edit?usp=sharing"",""นครนายก!I63"")"),0)</f>
        <v>0</v>
      </c>
      <c r="J133" s="204">
        <f ca="1">IFERROR(__xludf.DUMMYFUNCTION("IMPORTRANGE(""https://docs.google.com/spreadsheets/d/1SX6NBoVAgQJ6U1MVXOaj8PK2l7WJ3RER9xtqwdhxkhw/edit?usp=sharing"",""นครนายก!J63"")"),0)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IFERROR(__xludf.DUMMYFUNCTION("IMPORTRANGE(""https://docs.google.com/spreadsheets/d/1SX6NBoVAgQJ6U1MVXOaj8PK2l7WJ3RER9xtqwdhxkhw/edit?usp=sharing"",""นครนายก!J64"")"),0)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IFERROR(__xludf.DUMMYFUNCTION("IMPORTRANGE(""https://docs.google.com/spreadsheets/d/1SX6NBoVAgQJ6U1MVXOaj8PK2l7WJ3RER9xtqwdhxkhw/edit?usp=sharing"",""นครนายก!J65"")"),0)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IFERROR(__xludf.DUMMYFUNCTION("IMPORTRANGE(""https://docs.google.com/spreadsheets/d/1SX6NBoVAgQJ6U1MVXOaj8PK2l7WJ3RER9xtqwdhxkhw/edit?usp=sharing"",""นครนายก!I68"")"),20)</f>
        <v>20</v>
      </c>
      <c r="J138" s="268">
        <f ca="1">IFERROR(__xludf.DUMMYFUNCTION("IMPORTRANGE(""https://docs.google.com/spreadsheets/d/1SX6NBoVAgQJ6U1MVXOaj8PK2l7WJ3RER9xtqwdhxkhw/edit?usp=sharing"",""นครนายก!J68"")"),20)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599800</v>
      </c>
      <c r="M140" s="152">
        <f t="shared" ca="1" si="64"/>
        <v>600800</v>
      </c>
      <c r="N140" s="152">
        <f t="shared" ca="1" si="64"/>
        <v>395714.75</v>
      </c>
      <c r="O140" s="151">
        <f t="shared" ref="O140:O142" ca="1" si="65">IF(L140&gt;0,N140*100/L140,0)</f>
        <v>65.974449816605542</v>
      </c>
      <c r="P140" s="151">
        <f t="shared" ref="P140:P142" ca="1" si="66">IF(M140&gt;0,N140*100/M140,0)</f>
        <v>65.864638814913448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599800</v>
      </c>
      <c r="M142" s="157">
        <f t="shared" ca="1" si="68"/>
        <v>600800</v>
      </c>
      <c r="N142" s="157">
        <f t="shared" ca="1" si="68"/>
        <v>395714.75</v>
      </c>
      <c r="O142" s="156">
        <f t="shared" ca="1" si="65"/>
        <v>65.974449816605542</v>
      </c>
      <c r="P142" s="156">
        <f t="shared" ca="1" si="66"/>
        <v>65.864638814913448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599800</v>
      </c>
      <c r="M144" s="168">
        <f ca="1">IFERROR(__xludf.DUMMYFUNCTION("IMPORTRANGE(""https://docs.google.com/spreadsheets/d/1Yj_ptqi66GCucihVvJfMjLAmec39IyEx_6qawtMGysU/edit?usp=sharing"",""สบก!BJ65"")"),600800)</f>
        <v>600800</v>
      </c>
      <c r="N144" s="169">
        <f ca="1">IFERROR(__xludf.DUMMYFUNCTION("IMPORTRANGE(""https://docs.google.com/spreadsheets/d/1Yj_ptqi66GCucihVvJfMjLAmec39IyEx_6qawtMGysU/edit?usp=sharing"",""สบก!BK65"")"),395714.75)</f>
        <v>395714.75</v>
      </c>
      <c r="O144" s="169">
        <f ca="1">IF(L144&gt;0,N144*100/L144,0)</f>
        <v>65.974449816605542</v>
      </c>
      <c r="P144" s="169">
        <f ca="1">IF(M144&gt;0,N144*100/M144,0)</f>
        <v>65.864638814913448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IFERROR(__xludf.DUMMYFUNCTION("IMPORTRANGE(""https://docs.google.com/spreadsheets/d/1Yj_ptqi66GCucihVvJfMjLAmec39IyEx_6qawtMGysU/edit?usp=sharing"",""สบก!BF65"")"),305000)</f>
        <v>305000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IFERROR(__xludf.DUMMYFUNCTION("IMPORTRANGE(""https://docs.google.com/spreadsheets/d/1Yj_ptqi66GCucihVvJfMjLAmec39IyEx_6qawtMGysU/edit?usp=sharing"",""สบก!BG65"")"),294800)</f>
        <v>294800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IFERROR(__xludf.DUMMYFUNCTION("IMPORTRANGE(""https://docs.google.com/spreadsheets/d/1Yj_ptqi66GCucihVvJfMjLAmec39IyEx_6qawtMGysU/edit?usp=sharing"",""สบก!BH65"")"),0)</f>
        <v>0</v>
      </c>
      <c r="M148" s="49"/>
      <c r="N148" s="49">
        <f ca="1">IFERROR(__xludf.DUMMYFUNCTION("IMPORTRANGE(""https://docs.google.com/spreadsheets/d/1Yj_ptqi66GCucihVvJfMjLAmec39IyEx_6qawtMGysU/edit?usp=sharing"",""สบก!BL65"")"),0)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IFERROR(__xludf.DUMMYFUNCTION("IMPORTRANGE(""https://docs.google.com/spreadsheets/d/1SX6NBoVAgQJ6U1MVXOaj8PK2l7WJ3RER9xtqwdhxkhw/edit?usp=sharing"",""นครนายก!I74"")"),4)</f>
        <v>4</v>
      </c>
      <c r="J149" s="276">
        <f ca="1">IFERROR(__xludf.DUMMYFUNCTION("IMPORTRANGE(""https://docs.google.com/spreadsheets/d/1SX6NBoVAgQJ6U1MVXOaj8PK2l7WJ3RER9xtqwdhxkhw/edit?usp=sharing"",""นครนายก!J74"")"),3)</f>
        <v>3</v>
      </c>
      <c r="K149" s="277">
        <f ca="1">IF(I149&gt;0,J149*100/I149,0)</f>
        <v>75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IFERROR(__xludf.DUMMYFUNCTION("IMPORTRANGE(""https://docs.google.com/spreadsheets/d/1SX6NBoVAgQJ6U1MVXOaj8PK2l7WJ3RER9xtqwdhxkhw/edit?usp=sharing"",""นครนายก!J79"")"),0)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IFERROR(__xludf.DUMMYFUNCTION("IMPORTRANGE(""https://docs.google.com/spreadsheets/d/1SX6NBoVAgQJ6U1MVXOaj8PK2l7WJ3RER9xtqwdhxkhw/edit?usp=sharing"",""นครนายก!J80"")"),1)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IFERROR(__xludf.DUMMYFUNCTION("IMPORTRANGE(""https://docs.google.com/spreadsheets/d/1SX6NBoVAgQJ6U1MVXOaj8PK2l7WJ3RER9xtqwdhxkhw/edit?usp=sharing"",""นครนายก!J81"")"),1)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IFERROR(__xludf.DUMMYFUNCTION("IMPORTRANGE(""https://docs.google.com/spreadsheets/d/1SX6NBoVAgQJ6U1MVXOaj8PK2l7WJ3RER9xtqwdhxkhw/edit?usp=sharing"",""นครนายก!J82"")"),1)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IFERROR(__xludf.DUMMYFUNCTION("IMPORTRANGE(""https://docs.google.com/spreadsheets/d/1SX6NBoVAgQJ6U1MVXOaj8PK2l7WJ3RER9xtqwdhxkhw/edit?usp=sharing"",""นครนายก!I83"")"),4)</f>
        <v>4</v>
      </c>
      <c r="J158" s="189">
        <f ca="1">IFERROR(__xludf.DUMMYFUNCTION("IMPORTRANGE(""https://docs.google.com/spreadsheets/d/1SX6NBoVAgQJ6U1MVXOaj8PK2l7WJ3RER9xtqwdhxkhw/edit?usp=sharing"",""นครนายก!J83"")"),3)</f>
        <v>3</v>
      </c>
      <c r="K158" s="163">
        <f ca="1">IF(I158&gt;0,J158*100/I158,0)</f>
        <v>75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IFERROR(__xludf.DUMMYFUNCTION("IMPORTRANGE(""https://docs.google.com/spreadsheets/d/1SX6NBoVAgQJ6U1MVXOaj8PK2l7WJ3RER9xtqwdhxkhw/edit?usp=sharing"",""นครนายก!J84"")"),167)</f>
        <v>167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IFERROR(__xludf.DUMMYFUNCTION("IMPORTRANGE(""https://docs.google.com/spreadsheets/d/1SX6NBoVAgQJ6U1MVXOaj8PK2l7WJ3RER9xtqwdhxkhw/edit?usp=sharing"",""นครนายก!J85"")"),167)</f>
        <v>167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IFERROR(__xludf.DUMMYFUNCTION("IMPORTRANGE(""https://docs.google.com/spreadsheets/d/1SX6NBoVAgQJ6U1MVXOaj8PK2l7WJ3RER9xtqwdhxkhw/edit?usp=sharing"",""นครนายก!J86"")"),0)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IFERROR(__xludf.DUMMYFUNCTION("IMPORTRANGE(""https://docs.google.com/spreadsheets/d/1SX6NBoVAgQJ6U1MVXOaj8PK2l7WJ3RER9xtqwdhxkhw/edit?usp=sharing"",""นครนายก!J87"")"),0)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IFERROR(__xludf.DUMMYFUNCTION("IMPORTRANGE(""https://docs.google.com/spreadsheets/d/1SX6NBoVAgQJ6U1MVXOaj8PK2l7WJ3RER9xtqwdhxkhw/edit?usp=sharing"",""นครนายก!J88"")"),0)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IFERROR(__xludf.DUMMYFUNCTION("IMPORTRANGE(""https://docs.google.com/spreadsheets/d/1SX6NBoVAgQJ6U1MVXOaj8PK2l7WJ3RER9xtqwdhxkhw/edit?usp=sharing"",""นครนายก!I89"")"),3)</f>
        <v>3</v>
      </c>
      <c r="J164" s="285">
        <f ca="1">IFERROR(__xludf.DUMMYFUNCTION("IMPORTRANGE(""https://docs.google.com/spreadsheets/d/1SX6NBoVAgQJ6U1MVXOaj8PK2l7WJ3RER9xtqwdhxkhw/edit?usp=sharing"",""นครนายก!J89"")"),3)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IFERROR(__xludf.DUMMYFUNCTION("IMPORTRANGE(""https://docs.google.com/spreadsheets/d/1SX6NBoVAgQJ6U1MVXOaj8PK2l7WJ3RER9xtqwdhxkhw/edit?usp=sharing"",""นครนายก!J94"")"),0)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IFERROR(__xludf.DUMMYFUNCTION("IMPORTRANGE(""https://docs.google.com/spreadsheets/d/1SX6NBoVAgQJ6U1MVXOaj8PK2l7WJ3RER9xtqwdhxkhw/edit?usp=sharing"",""นครนายก!J95"")"),1)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IFERROR(__xludf.DUMMYFUNCTION("IMPORTRANGE(""https://docs.google.com/spreadsheets/d/1SX6NBoVAgQJ6U1MVXOaj8PK2l7WJ3RER9xtqwdhxkhw/edit?usp=sharing"",""นครนายก!J96"")"),1)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IFERROR(__xludf.DUMMYFUNCTION("IMPORTRANGE(""https://docs.google.com/spreadsheets/d/1SX6NBoVAgQJ6U1MVXOaj8PK2l7WJ3RER9xtqwdhxkhw/edit?usp=sharing"",""นครนายก!J97"")"),1)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IFERROR(__xludf.DUMMYFUNCTION("IMPORTRANGE(""https://docs.google.com/spreadsheets/d/1SX6NBoVAgQJ6U1MVXOaj8PK2l7WJ3RER9xtqwdhxkhw/edit?usp=sharing"",""นครนายก!I98"")"),3)</f>
        <v>3</v>
      </c>
      <c r="J173" s="189">
        <f ca="1">IFERROR(__xludf.DUMMYFUNCTION("IMPORTRANGE(""https://docs.google.com/spreadsheets/d/1SX6NBoVAgQJ6U1MVXOaj8PK2l7WJ3RER9xtqwdhxkhw/edit?usp=sharing"",""นครนายก!J98"")"),3)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IFERROR(__xludf.DUMMYFUNCTION("IMPORTRANGE(""https://docs.google.com/spreadsheets/d/1SX6NBoVAgQJ6U1MVXOaj8PK2l7WJ3RER9xtqwdhxkhw/edit?usp=sharing"",""นครนายก!J99"")"),1)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IFERROR(__xludf.DUMMYFUNCTION("IMPORTRANGE(""https://docs.google.com/spreadsheets/d/1SX6NBoVAgQJ6U1MVXOaj8PK2l7WJ3RER9xtqwdhxkhw/edit?usp=sharing"",""นครนายก!J100"")"),0)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IFERROR(__xludf.DUMMYFUNCTION("IMPORTRANGE(""https://docs.google.com/spreadsheets/d/1SX6NBoVAgQJ6U1MVXOaj8PK2l7WJ3RER9xtqwdhxkhw/edit?usp=sharing"",""นครนายก!I101"")"),0)</f>
        <v>0</v>
      </c>
      <c r="J176" s="285">
        <f ca="1">IFERROR(__xludf.DUMMYFUNCTION("IMPORTRANGE(""https://docs.google.com/spreadsheets/d/1SX6NBoVAgQJ6U1MVXOaj8PK2l7WJ3RER9xtqwdhxkhw/edit?usp=sharing"",""นครนายก!J101"")"),0)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IFERROR(__xludf.DUMMYFUNCTION("IMPORTRANGE(""https://docs.google.com/spreadsheets/d/1SX6NBoVAgQJ6U1MVXOaj8PK2l7WJ3RER9xtqwdhxkhw/edit?usp=sharing"",""นครนายก!J106"")"),0)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IFERROR(__xludf.DUMMYFUNCTION("IMPORTRANGE(""https://docs.google.com/spreadsheets/d/1SX6NBoVAgQJ6U1MVXOaj8PK2l7WJ3RER9xtqwdhxkhw/edit?usp=sharing"",""นครนายก!J107"")"),0)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IFERROR(__xludf.DUMMYFUNCTION("IMPORTRANGE(""https://docs.google.com/spreadsheets/d/1SX6NBoVAgQJ6U1MVXOaj8PK2l7WJ3RER9xtqwdhxkhw/edit?usp=sharing"",""นครนายก!J108"")"),0)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IFERROR(__xludf.DUMMYFUNCTION("IMPORTRANGE(""https://docs.google.com/spreadsheets/d/1SX6NBoVAgQJ6U1MVXOaj8PK2l7WJ3RER9xtqwdhxkhw/edit?usp=sharing"",""นครนายก!J109"")"),0)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IFERROR(__xludf.DUMMYFUNCTION("IMPORTRANGE(""https://docs.google.com/spreadsheets/d/1SX6NBoVAgQJ6U1MVXOaj8PK2l7WJ3RER9xtqwdhxkhw/edit?usp=sharing"",""นครนายก!I110"")"),0)</f>
        <v>0</v>
      </c>
      <c r="J185" s="204">
        <f ca="1">IFERROR(__xludf.DUMMYFUNCTION("IMPORTRANGE(""https://docs.google.com/spreadsheets/d/1SX6NBoVAgQJ6U1MVXOaj8PK2l7WJ3RER9xtqwdhxkhw/edit?usp=sharing"",""นครนายก!J110"")"),0)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IFERROR(__xludf.DUMMYFUNCTION("IMPORTRANGE(""https://docs.google.com/spreadsheets/d/1SX6NBoVAgQJ6U1MVXOaj8PK2l7WJ3RER9xtqwdhxkhw/edit?usp=sharing"",""นครนายก!I111"")"),0)</f>
        <v>0</v>
      </c>
      <c r="J186" s="204">
        <f ca="1">IFERROR(__xludf.DUMMYFUNCTION("IMPORTRANGE(""https://docs.google.com/spreadsheets/d/1SX6NBoVAgQJ6U1MVXOaj8PK2l7WJ3RER9xtqwdhxkhw/edit?usp=sharing"",""นครนายก!J111"")"),0)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IFERROR(__xludf.DUMMYFUNCTION("IMPORTRANGE(""https://docs.google.com/spreadsheets/d/1SX6NBoVAgQJ6U1MVXOaj8PK2l7WJ3RER9xtqwdhxkhw/edit?usp=sharing"",""นครนายก!J112"")"),0)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IFERROR(__xludf.DUMMYFUNCTION("IMPORTRANGE(""https://docs.google.com/spreadsheets/d/1SX6NBoVAgQJ6U1MVXOaj8PK2l7WJ3RER9xtqwdhxkhw/edit?usp=sharing"",""นครนายก!J113"")"),0)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IFERROR(__xludf.DUMMYFUNCTION("IMPORTRANGE(""https://docs.google.com/spreadsheets/d/1SX6NBoVAgQJ6U1MVXOaj8PK2l7WJ3RER9xtqwdhxkhw/edit?usp=sharing"",""นครนายก!I114"")"),30000)</f>
        <v>30000</v>
      </c>
      <c r="J189" s="285">
        <f ca="1">IFERROR(__xludf.DUMMYFUNCTION("IMPORTRANGE(""https://docs.google.com/spreadsheets/d/1SX6NBoVAgQJ6U1MVXOaj8PK2l7WJ3RER9xtqwdhxkhw/edit?usp=sharing"",""นครนายก!J114"")"),0)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IFERROR(__xludf.DUMMYFUNCTION("IMPORTRANGE(""https://docs.google.com/spreadsheets/d/1SX6NBoVAgQJ6U1MVXOaj8PK2l7WJ3RER9xtqwdhxkhw/edit?usp=sharing"",""นครนายก!J119"")"),0)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IFERROR(__xludf.DUMMYFUNCTION("IMPORTRANGE(""https://docs.google.com/spreadsheets/d/1SX6NBoVAgQJ6U1MVXOaj8PK2l7WJ3RER9xtqwdhxkhw/edit?usp=sharing"",""นครนายก!J120"")"),1)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IFERROR(__xludf.DUMMYFUNCTION("IMPORTRANGE(""https://docs.google.com/spreadsheets/d/1SX6NBoVAgQJ6U1MVXOaj8PK2l7WJ3RER9xtqwdhxkhw/edit?usp=sharing"",""นครนายก!J121"")"),0)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IFERROR(__xludf.DUMMYFUNCTION("IMPORTRANGE(""https://docs.google.com/spreadsheets/d/1SX6NBoVAgQJ6U1MVXOaj8PK2l7WJ3RER9xtqwdhxkhw/edit?usp=sharing"",""นครนายก!J122"")"),0)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IFERROR(__xludf.DUMMYFUNCTION("IMPORTRANGE(""https://docs.google.com/spreadsheets/d/1SX6NBoVAgQJ6U1MVXOaj8PK2l7WJ3RER9xtqwdhxkhw/edit?usp=sharing"",""นครนายก!I124"")"),30000)</f>
        <v>30000</v>
      </c>
      <c r="J199" s="189">
        <f ca="1">IFERROR(__xludf.DUMMYFUNCTION("IMPORTRANGE(""https://docs.google.com/spreadsheets/d/1SX6NBoVAgQJ6U1MVXOaj8PK2l7WJ3RER9xtqwdhxkhw/edit?usp=sharing"",""นครนายก!J124"")"),0)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IFERROR(__xludf.DUMMYFUNCTION("IMPORTRANGE(""https://docs.google.com/spreadsheets/d/1SX6NBoVAgQJ6U1MVXOaj8PK2l7WJ3RER9xtqwdhxkhw/edit?usp=sharing"",""นครนายก!I125"")"),30000)</f>
        <v>30000</v>
      </c>
      <c r="J200" s="189">
        <f ca="1">IFERROR(__xludf.DUMMYFUNCTION("IMPORTRANGE(""https://docs.google.com/spreadsheets/d/1SX6NBoVAgQJ6U1MVXOaj8PK2l7WJ3RER9xtqwdhxkhw/edit?usp=sharing"",""นครนายก!J125"")"),0)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IFERROR(__xludf.DUMMYFUNCTION("IMPORTRANGE(""https://docs.google.com/spreadsheets/d/1SX6NBoVAgQJ6U1MVXOaj8PK2l7WJ3RER9xtqwdhxkhw/edit?usp=sharing"",""นครนายก!I126"")"),0)</f>
        <v>0</v>
      </c>
      <c r="J201" s="189">
        <f ca="1">IFERROR(__xludf.DUMMYFUNCTION("IMPORTRANGE(""https://docs.google.com/spreadsheets/d/1SX6NBoVAgQJ6U1MVXOaj8PK2l7WJ3RER9xtqwdhxkhw/edit?usp=sharing"",""นครนายก!J126"")"),0)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IFERROR(__xludf.DUMMYFUNCTION("IMPORTRANGE(""https://docs.google.com/spreadsheets/d/1SX6NBoVAgQJ6U1MVXOaj8PK2l7WJ3RER9xtqwdhxkhw/edit?usp=sharing"",""นครนายก!J127"")"),0)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IFERROR(__xludf.DUMMYFUNCTION("IMPORTRANGE(""https://docs.google.com/spreadsheets/d/1SX6NBoVAgQJ6U1MVXOaj8PK2l7WJ3RER9xtqwdhxkhw/edit?usp=sharing"",""นครนายก!J128"")"),0)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IFERROR(__xludf.DUMMYFUNCTION("IMPORTRANGE(""https://docs.google.com/spreadsheets/d/1SX6NBoVAgQJ6U1MVXOaj8PK2l7WJ3RER9xtqwdhxkhw/edit?usp=sharing"",""นครนายก!I129"")"),20)</f>
        <v>20</v>
      </c>
      <c r="J204" s="285">
        <f ca="1">IFERROR(__xludf.DUMMYFUNCTION("IMPORTRANGE(""https://docs.google.com/spreadsheets/d/1SX6NBoVAgQJ6U1MVXOaj8PK2l7WJ3RER9xtqwdhxkhw/edit?usp=sharing"",""นครนายก!J129"")"),20)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IFERROR(__xludf.DUMMYFUNCTION("IMPORTRANGE(""https://docs.google.com/spreadsheets/d/1SX6NBoVAgQJ6U1MVXOaj8PK2l7WJ3RER9xtqwdhxkhw/edit?usp=sharing"",""นครนายก!J134"")"),0)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IFERROR(__xludf.DUMMYFUNCTION("IMPORTRANGE(""https://docs.google.com/spreadsheets/d/1SX6NBoVAgQJ6U1MVXOaj8PK2l7WJ3RER9xtqwdhxkhw/edit?usp=sharing"",""นครนายก!J135"")"),1)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IFERROR(__xludf.DUMMYFUNCTION("IMPORTRANGE(""https://docs.google.com/spreadsheets/d/1SX6NBoVAgQJ6U1MVXOaj8PK2l7WJ3RER9xtqwdhxkhw/edit?usp=sharing"",""นครนายก!J136"")"),1)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IFERROR(__xludf.DUMMYFUNCTION("IMPORTRANGE(""https://docs.google.com/spreadsheets/d/1SX6NBoVAgQJ6U1MVXOaj8PK2l7WJ3RER9xtqwdhxkhw/edit?usp=sharing"",""นครนายก!J137"")"),1)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IFERROR(__xludf.DUMMYFUNCTION("IMPORTRANGE(""https://docs.google.com/spreadsheets/d/1SX6NBoVAgQJ6U1MVXOaj8PK2l7WJ3RER9xtqwdhxkhw/edit?usp=sharing"",""นครนายก!I138"")"),20)</f>
        <v>20</v>
      </c>
      <c r="J213" s="204">
        <f ca="1">IFERROR(__xludf.DUMMYFUNCTION("IMPORTRANGE(""https://docs.google.com/spreadsheets/d/1SX6NBoVAgQJ6U1MVXOaj8PK2l7WJ3RER9xtqwdhxkhw/edit?usp=sharing"",""นครนายก!J138"")"),20)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IFERROR(__xludf.DUMMYFUNCTION("IMPORTRANGE(""https://docs.google.com/spreadsheets/d/1SX6NBoVAgQJ6U1MVXOaj8PK2l7WJ3RER9xtqwdhxkhw/edit?usp=sharing"",""นครนายก!I140"")"),0)</f>
        <v>0</v>
      </c>
      <c r="J215" s="204">
        <f ca="1">IFERROR(__xludf.DUMMYFUNCTION("IMPORTRANGE(""https://docs.google.com/spreadsheets/d/1SX6NBoVAgQJ6U1MVXOaj8PK2l7WJ3RER9xtqwdhxkhw/edit?usp=sharing"",""นครนายก!J140"")"),0)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IFERROR(__xludf.DUMMYFUNCTION("IMPORTRANGE(""https://docs.google.com/spreadsheets/d/1SX6NBoVAgQJ6U1MVXOaj8PK2l7WJ3RER9xtqwdhxkhw/edit?usp=sharing"",""นครนายก!I141"")"),1)</f>
        <v>1</v>
      </c>
      <c r="J216" s="204">
        <f ca="1">IFERROR(__xludf.DUMMYFUNCTION("IMPORTRANGE(""https://docs.google.com/spreadsheets/d/1SX6NBoVAgQJ6U1MVXOaj8PK2l7WJ3RER9xtqwdhxkhw/edit?usp=sharing"",""นครนายก!J141"")"),0)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IFERROR(__xludf.DUMMYFUNCTION("IMPORTRANGE(""https://docs.google.com/spreadsheets/d/1SX6NBoVAgQJ6U1MVXOaj8PK2l7WJ3RER9xtqwdhxkhw/edit?usp=sharing"",""นครนายก!J142"")"),0)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IFERROR(__xludf.DUMMYFUNCTION("IMPORTRANGE(""https://docs.google.com/spreadsheets/d/1SX6NBoVAgQJ6U1MVXOaj8PK2l7WJ3RER9xtqwdhxkhw/edit?usp=sharing"",""นครนายก!J143"")"),0)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IFERROR(__xludf.DUMMYFUNCTION("IMPORTRANGE(""https://docs.google.com/spreadsheets/d/1SX6NBoVAgQJ6U1MVXOaj8PK2l7WJ3RER9xtqwdhxkhw/edit?usp=sharing"",""นครนายก!I144"")"),0)</f>
        <v>0</v>
      </c>
      <c r="J219" s="268">
        <f ca="1">IFERROR(__xludf.DUMMYFUNCTION("IMPORTRANGE(""https://docs.google.com/spreadsheets/d/1SX6NBoVAgQJ6U1MVXOaj8PK2l7WJ3RER9xtqwdhxkhw/edit?usp=sharing"",""นครนายก!J144"")"),0)</f>
        <v>0</v>
      </c>
      <c r="K219" s="269">
        <f ca="1">IF(I219&gt;0,J219*100/I219,0)</f>
        <v>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0</v>
      </c>
      <c r="M222" s="157">
        <f t="shared" ca="1" si="76"/>
        <v>0</v>
      </c>
      <c r="N222" s="157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0</v>
      </c>
      <c r="M224" s="168">
        <f ca="1">IFERROR(__xludf.DUMMYFUNCTION("IMPORTRANGE(""https://docs.google.com/spreadsheets/d/1Yj_ptqi66GCucihVvJfMjLAmec39IyEx_6qawtMGysU/edit?usp=sharing"",""สบก!BS65"")"),0)</f>
        <v>0</v>
      </c>
      <c r="N224" s="169">
        <f ca="1">IFERROR(__xludf.DUMMYFUNCTION("IMPORTRANGE(""https://docs.google.com/spreadsheets/d/1Yj_ptqi66GCucihVvJfMjLAmec39IyEx_6qawtMGysU/edit?usp=sharing"",""สบก!BT65"")"),0)</f>
        <v>0</v>
      </c>
      <c r="O224" s="169">
        <f ca="1">IF(L224&gt;0,N224*100/L224,0)</f>
        <v>0</v>
      </c>
      <c r="P224" s="169">
        <f ca="1">IF(M224&gt;0,N224*100/M224,0)</f>
        <v>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IFERROR(__xludf.DUMMYFUNCTION("IMPORTRANGE(""https://docs.google.com/spreadsheets/d/1Yj_ptqi66GCucihVvJfMjLAmec39IyEx_6qawtMGysU/edit?usp=sharing"",""สบก!BP65"")"),0)</f>
        <v>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IFERROR(__xludf.DUMMYFUNCTION("IMPORTRANGE(""https://docs.google.com/spreadsheets/d/1Yj_ptqi66GCucihVvJfMjLAmec39IyEx_6qawtMGysU/edit?usp=sharing"",""สบก!BQ65"")"),0)</f>
        <v>0</v>
      </c>
      <c r="M228" s="49"/>
      <c r="N228" s="49">
        <f ca="1">IFERROR(__xludf.DUMMYFUNCTION("IMPORTRANGE(""https://docs.google.com/spreadsheets/d/1Yj_ptqi66GCucihVvJfMjLAmec39IyEx_6qawtMGysU/edit?usp=sharing"",""สบก!BU65"")"),0)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IFERROR(__xludf.DUMMYFUNCTION("IMPORTRANGE(""https://docs.google.com/spreadsheets/d/1SX6NBoVAgQJ6U1MVXOaj8PK2l7WJ3RER9xtqwdhxkhw/edit?usp=sharing"",""นครนายก!I149"")"),0)</f>
        <v>0</v>
      </c>
      <c r="J229" s="268">
        <f ca="1">IFERROR(__xludf.DUMMYFUNCTION("IMPORTRANGE(""https://docs.google.com/spreadsheets/d/1SX6NBoVAgQJ6U1MVXOaj8PK2l7WJ3RER9xtqwdhxkhw/edit?usp=sharing"",""นครนายก!J149"")"),0)</f>
        <v>0</v>
      </c>
      <c r="K229" s="269">
        <f ca="1">IF(I229&gt;0,J229*100/I229,0)</f>
        <v>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IFERROR(__xludf.DUMMYFUNCTION("IMPORTRANGE(""https://docs.google.com/spreadsheets/d/1SX6NBoVAgQJ6U1MVXOaj8PK2l7WJ3RER9xtqwdhxkhw/edit?usp=sharing"",""นครนายก!J151"")"),0)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IFERROR(__xludf.DUMMYFUNCTION("IMPORTRANGE(""https://docs.google.com/spreadsheets/d/1SX6NBoVAgQJ6U1MVXOaj8PK2l7WJ3RER9xtqwdhxkhw/edit?usp=sharing"",""นครนายก!J152"")"),0)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IFERROR(__xludf.DUMMYFUNCTION("IMPORTRANGE(""https://docs.google.com/spreadsheets/d/1SX6NBoVAgQJ6U1MVXOaj8PK2l7WJ3RER9xtqwdhxkhw/edit?usp=sharing"",""นครนายก!J153"")"),0)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IFERROR(__xludf.DUMMYFUNCTION("IMPORTRANGE(""https://docs.google.com/spreadsheets/d/1SX6NBoVAgQJ6U1MVXOaj8PK2l7WJ3RER9xtqwdhxkhw/edit?usp=sharing"",""นครนายก!J154"")"),0)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IFERROR(__xludf.DUMMYFUNCTION("IMPORTRANGE(""https://docs.google.com/spreadsheets/d/1SX6NBoVAgQJ6U1MVXOaj8PK2l7WJ3RER9xtqwdhxkhw/edit?usp=sharing"",""นครนายก!I155"")"),0)</f>
        <v>0</v>
      </c>
      <c r="J235" s="189">
        <f ca="1">IFERROR(__xludf.DUMMYFUNCTION("IMPORTRANGE(""https://docs.google.com/spreadsheets/d/1SX6NBoVAgQJ6U1MVXOaj8PK2l7WJ3RER9xtqwdhxkhw/edit?usp=sharing"",""นครนายก!J155"")"),0)</f>
        <v>0</v>
      </c>
      <c r="K235" s="163">
        <f ca="1">IF(I235&gt;0,J235*100/I235,0)</f>
        <v>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IFERROR(__xludf.DUMMYFUNCTION("IMPORTRANGE(""https://docs.google.com/spreadsheets/d/1SX6NBoVAgQJ6U1MVXOaj8PK2l7WJ3RER9xtqwdhxkhw/edit?usp=sharing"",""นครนายก!J156"")"),0)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IFERROR(__xludf.DUMMYFUNCTION("IMPORTRANGE(""https://docs.google.com/spreadsheets/d/1SX6NBoVAgQJ6U1MVXOaj8PK2l7WJ3RER9xtqwdhxkhw/edit?usp=sharing"",""นครนายก!J157"")"),0)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IFERROR(__xludf.DUMMYFUNCTION("IMPORTRANGE(""https://docs.google.com/spreadsheets/d/1SX6NBoVAgQJ6U1MVXOaj8PK2l7WJ3RER9xtqwdhxkhw/edit?usp=sharing"",""นครนายก!I158"")"),0)</f>
        <v>0</v>
      </c>
      <c r="J238" s="268">
        <f ca="1">IFERROR(__xludf.DUMMYFUNCTION("IMPORTRANGE(""https://docs.google.com/spreadsheets/d/1SX6NBoVAgQJ6U1MVXOaj8PK2l7WJ3RER9xtqwdhxkhw/edit?usp=sharing"",""นครนายก!J158"")"),0)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IFERROR(__xludf.DUMMYFUNCTION("IMPORTRANGE(""https://docs.google.com/spreadsheets/d/1SX6NBoVAgQJ6U1MVXOaj8PK2l7WJ3RER9xtqwdhxkhw/edit?usp=sharing"",""นครนายก!J159"")"),"")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IFERROR(__xludf.DUMMYFUNCTION("IMPORTRANGE(""https://docs.google.com/spreadsheets/d/1SX6NBoVAgQJ6U1MVXOaj8PK2l7WJ3RER9xtqwdhxkhw/edit?usp=sharing"",""นครนายก!J161"")"),0)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IFERROR(__xludf.DUMMYFUNCTION("IMPORTRANGE(""https://docs.google.com/spreadsheets/d/1SX6NBoVAgQJ6U1MVXOaj8PK2l7WJ3RER9xtqwdhxkhw/edit?usp=sharing"",""นครนายก!J162"")"),0)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IFERROR(__xludf.DUMMYFUNCTION("IMPORTRANGE(""https://docs.google.com/spreadsheets/d/1SX6NBoVAgQJ6U1MVXOaj8PK2l7WJ3RER9xtqwdhxkhw/edit?usp=sharing"",""นครนายก!J163"")"),0)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IFERROR(__xludf.DUMMYFUNCTION("IMPORTRANGE(""https://docs.google.com/spreadsheets/d/1SX6NBoVAgQJ6U1MVXOaj8PK2l7WJ3RER9xtqwdhxkhw/edit?usp=sharing"",""นครนายก!I164"")"),0)</f>
        <v>0</v>
      </c>
      <c r="J244" s="188">
        <f ca="1">IFERROR(__xludf.DUMMYFUNCTION("IMPORTRANGE(""https://docs.google.com/spreadsheets/d/1SX6NBoVAgQJ6U1MVXOaj8PK2l7WJ3RER9xtqwdhxkhw/edit?usp=sharing"",""นครนายก!J164"")"),0)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IFERROR(__xludf.DUMMYFUNCTION("IMPORTRANGE(""https://docs.google.com/spreadsheets/d/1SX6NBoVAgQJ6U1MVXOaj8PK2l7WJ3RER9xtqwdhxkhw/edit?usp=sharing"",""นครนายก!J165"")"),0)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IFERROR(__xludf.DUMMYFUNCTION("IMPORTRANGE(""https://docs.google.com/spreadsheets/d/1SX6NBoVAgQJ6U1MVXOaj8PK2l7WJ3RER9xtqwdhxkhw/edit?usp=sharing"",""นครนายก!J166"")"),0)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IFERROR(__xludf.DUMMYFUNCTION("IMPORTRANGE(""https://docs.google.com/spreadsheets/d/1SX6NBoVAgQJ6U1MVXOaj8PK2l7WJ3RER9xtqwdhxkhw/edit?usp=sharing"",""นครนายก!I169"")"),0)</f>
        <v>0</v>
      </c>
      <c r="J249" s="317">
        <f ca="1">IFERROR(__xludf.DUMMYFUNCTION("IMPORTRANGE(""https://docs.google.com/spreadsheets/d/1SX6NBoVAgQJ6U1MVXOaj8PK2l7WJ3RER9xtqwdhxkhw/edit?usp=sharing"",""นครนายก!J169"")"),0)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IFERROR(__xludf.DUMMYFUNCTION("IMPORTRANGE(""https://docs.google.com/spreadsheets/d/1Yj_ptqi66GCucihVvJfMjLAmec39IyEx_6qawtMGysU/edit?usp=sharing"",""สบก!CB65"")"),0)</f>
        <v>0</v>
      </c>
      <c r="N254" s="169">
        <f ca="1">IFERROR(__xludf.DUMMYFUNCTION("IMPORTRANGE(""https://docs.google.com/spreadsheets/d/1Yj_ptqi66GCucihVvJfMjLAmec39IyEx_6qawtMGysU/edit?usp=sharing"",""สบก!CC65"")"),0)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IFERROR(__xludf.DUMMYFUNCTION("IMPORTRANGE(""https://docs.google.com/spreadsheets/d/1Yj_ptqi66GCucihVvJfMjLAmec39IyEx_6qawtMGysU/edit?usp=sharing"",""สบก!BZ65"")"),0)</f>
        <v>0</v>
      </c>
      <c r="M258" s="49"/>
      <c r="N258" s="49">
        <f ca="1">IFERROR(__xludf.DUMMYFUNCTION("IMPORTRANGE(""https://docs.google.com/spreadsheets/d/1Yj_ptqi66GCucihVvJfMjLAmec39IyEx_6qawtMGysU/edit?usp=sharing"",""สบก!CD65"")"),0)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IFERROR(__xludf.DUMMYFUNCTION("IMPORTRANGE(""https://docs.google.com/spreadsheets/d/1SX6NBoVAgQJ6U1MVXOaj8PK2l7WJ3RER9xtqwdhxkhw/edit?usp=sharing"",""นครนายก!J175"")"),0)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IFERROR(__xludf.DUMMYFUNCTION("IMPORTRANGE(""https://docs.google.com/spreadsheets/d/1SX6NBoVAgQJ6U1MVXOaj8PK2l7WJ3RER9xtqwdhxkhw/edit?usp=sharing"",""นครนายก!J176"")"),0)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IFERROR(__xludf.DUMMYFUNCTION("IMPORTRANGE(""https://docs.google.com/spreadsheets/d/1SX6NBoVAgQJ6U1MVXOaj8PK2l7WJ3RER9xtqwdhxkhw/edit?usp=sharing"",""นครนายก!J177"")"),0)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IFERROR(__xludf.DUMMYFUNCTION("IMPORTRANGE(""https://docs.google.com/spreadsheets/d/1SX6NBoVAgQJ6U1MVXOaj8PK2l7WJ3RER9xtqwdhxkhw/edit?usp=sharing"",""นครนายก!J178"")"),0)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IFERROR(__xludf.DUMMYFUNCTION("IMPORTRANGE(""https://docs.google.com/spreadsheets/d/1SX6NBoVAgQJ6U1MVXOaj8PK2l7WJ3RER9xtqwdhxkhw/edit?usp=sharing"",""นครนายก!I179"")"),0)</f>
        <v>0</v>
      </c>
      <c r="J264" s="189">
        <f ca="1">IFERROR(__xludf.DUMMYFUNCTION("IMPORTRANGE(""https://docs.google.com/spreadsheets/d/1SX6NBoVAgQJ6U1MVXOaj8PK2l7WJ3RER9xtqwdhxkhw/edit?usp=sharing"",""นครนายก!J179"")"),0)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IFERROR(__xludf.DUMMYFUNCTION("IMPORTRANGE(""https://docs.google.com/spreadsheets/d/1SX6NBoVAgQJ6U1MVXOaj8PK2l7WJ3RER9xtqwdhxkhw/edit?usp=sharing"",""นครนายก!I180"")"),0)</f>
        <v>0</v>
      </c>
      <c r="J265" s="189">
        <f ca="1">IFERROR(__xludf.DUMMYFUNCTION("IMPORTRANGE(""https://docs.google.com/spreadsheets/d/1SX6NBoVAgQJ6U1MVXOaj8PK2l7WJ3RER9xtqwdhxkhw/edit?usp=sharing"",""นครนายก!J180"")"),0)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IFERROR(__xludf.DUMMYFUNCTION("IMPORTRANGE(""https://docs.google.com/spreadsheets/d/1SX6NBoVAgQJ6U1MVXOaj8PK2l7WJ3RER9xtqwdhxkhw/edit?usp=sharing"",""นครนายก!I181"")"),0)</f>
        <v>0</v>
      </c>
      <c r="J266" s="189">
        <f ca="1">IFERROR(__xludf.DUMMYFUNCTION("IMPORTRANGE(""https://docs.google.com/spreadsheets/d/1SX6NBoVAgQJ6U1MVXOaj8PK2l7WJ3RER9xtqwdhxkhw/edit?usp=sharing"",""นครนายก!J181"")"),0)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IFERROR(__xludf.DUMMYFUNCTION("IMPORTRANGE(""https://docs.google.com/spreadsheets/d/1SX6NBoVAgQJ6U1MVXOaj8PK2l7WJ3RER9xtqwdhxkhw/edit?usp=sharing"",""นครนายก!I182"")"),0)</f>
        <v>0</v>
      </c>
      <c r="J267" s="189">
        <f ca="1">IFERROR(__xludf.DUMMYFUNCTION("IMPORTRANGE(""https://docs.google.com/spreadsheets/d/1SX6NBoVAgQJ6U1MVXOaj8PK2l7WJ3RER9xtqwdhxkhw/edit?usp=sharing"",""นครนายก!J182"")"),0)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IFERROR(__xludf.DUMMYFUNCTION("IMPORTRANGE(""https://docs.google.com/spreadsheets/d/1SX6NBoVAgQJ6U1MVXOaj8PK2l7WJ3RER9xtqwdhxkhw/edit?usp=sharing"",""นครนายก!J183"")"),0)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IFERROR(__xludf.DUMMYFUNCTION("IMPORTRANGE(""https://docs.google.com/spreadsheets/d/1SX6NBoVAgQJ6U1MVXOaj8PK2l7WJ3RER9xtqwdhxkhw/edit?usp=sharing"",""นครนายก!J184"")"),0)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IFERROR(__xludf.DUMMYFUNCTION("IMPORTRANGE(""https://docs.google.com/spreadsheets/d/1SX6NBoVAgQJ6U1MVXOaj8PK2l7WJ3RER9xtqwdhxkhw/edit?usp=sharing"",""นครนายก!I185"")"),15)</f>
        <v>15</v>
      </c>
      <c r="J270" s="317">
        <f ca="1">IFERROR(__xludf.DUMMYFUNCTION("IMPORTRANGE(""https://docs.google.com/spreadsheets/d/1SX6NBoVAgQJ6U1MVXOaj8PK2l7WJ3RER9xtqwdhxkhw/edit?usp=sharing"",""นครนายก!J185"")"),15)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42435</v>
      </c>
      <c r="O271" s="151">
        <f t="shared" ref="O271:O273" ca="1" si="84">IF(L271&gt;0,N271*100/L271,0)</f>
        <v>76.875</v>
      </c>
      <c r="P271" s="151">
        <f t="shared" ref="P271:P273" ca="1" si="85">IF(M271&gt;0,N271*100/M271,0)</f>
        <v>76.875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42435</v>
      </c>
      <c r="O273" s="156">
        <f t="shared" ca="1" si="84"/>
        <v>76.875</v>
      </c>
      <c r="P273" s="156">
        <f t="shared" ca="1" si="85"/>
        <v>76.875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IFERROR(__xludf.DUMMYFUNCTION("IMPORTRANGE(""https://docs.google.com/spreadsheets/d/1Yj_ptqi66GCucihVvJfMjLAmec39IyEx_6qawtMGysU/edit?usp=sharing"",""สบก!CK65"")"),55200)</f>
        <v>55200</v>
      </c>
      <c r="N275" s="169">
        <f ca="1">IFERROR(__xludf.DUMMYFUNCTION("IMPORTRANGE(""https://docs.google.com/spreadsheets/d/1Yj_ptqi66GCucihVvJfMjLAmec39IyEx_6qawtMGysU/edit?usp=sharing"",""สบก!CL65"")"),42435)</f>
        <v>42435</v>
      </c>
      <c r="O275" s="169">
        <f ca="1">IF(L275&gt;0,N275*100/L275,0)</f>
        <v>76.875</v>
      </c>
      <c r="P275" s="169">
        <f ca="1">IF(M275&gt;0,N275*100/M275,0)</f>
        <v>76.875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IFERROR(__xludf.DUMMYFUNCTION("IMPORTRANGE(""https://docs.google.com/spreadsheets/d/1Yj_ptqi66GCucihVvJfMjLAmec39IyEx_6qawtMGysU/edit?usp=sharing"",""สบก!CI65"")"),0)</f>
        <v>0</v>
      </c>
      <c r="M279" s="49"/>
      <c r="N279" s="49">
        <f ca="1">IFERROR(__xludf.DUMMYFUNCTION("IMPORTRANGE(""https://docs.google.com/spreadsheets/d/1Yj_ptqi66GCucihVvJfMjLAmec39IyEx_6qawtMGysU/edit?usp=sharing"",""สบก!CM65"")"),0)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IFERROR(__xludf.DUMMYFUNCTION("IMPORTRANGE(""https://docs.google.com/spreadsheets/d/1SX6NBoVAgQJ6U1MVXOaj8PK2l7WJ3RER9xtqwdhxkhw/edit?usp=sharing"",""นครนายก!J191"")"),0)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IFERROR(__xludf.DUMMYFUNCTION("IMPORTRANGE(""https://docs.google.com/spreadsheets/d/1SX6NBoVAgQJ6U1MVXOaj8PK2l7WJ3RER9xtqwdhxkhw/edit?usp=sharing"",""นครนายก!J192"")"),1)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IFERROR(__xludf.DUMMYFUNCTION("IMPORTRANGE(""https://docs.google.com/spreadsheets/d/1SX6NBoVAgQJ6U1MVXOaj8PK2l7WJ3RER9xtqwdhxkhw/edit?usp=sharing"",""นครนายก!J193"")"),1)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IFERROR(__xludf.DUMMYFUNCTION("IMPORTRANGE(""https://docs.google.com/spreadsheets/d/1SX6NBoVAgQJ6U1MVXOaj8PK2l7WJ3RER9xtqwdhxkhw/edit?usp=sharing"",""นครนายก!J194"")"),1)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IFERROR(__xludf.DUMMYFUNCTION("IMPORTRANGE(""https://docs.google.com/spreadsheets/d/1SX6NBoVAgQJ6U1MVXOaj8PK2l7WJ3RER9xtqwdhxkhw/edit?usp=sharing"",""นครนายก!I195"")"),15)</f>
        <v>15</v>
      </c>
      <c r="J285" s="189">
        <f ca="1">IFERROR(__xludf.DUMMYFUNCTION("IMPORTRANGE(""https://docs.google.com/spreadsheets/d/1SX6NBoVAgQJ6U1MVXOaj8PK2l7WJ3RER9xtqwdhxkhw/edit?usp=sharing"",""นครนายก!J195"")"),15)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IFERROR(__xludf.DUMMYFUNCTION("IMPORTRANGE(""https://docs.google.com/spreadsheets/d/1SX6NBoVAgQJ6U1MVXOaj8PK2l7WJ3RER9xtqwdhxkhw/edit?usp=sharing"",""นครนายก!J196"")"),0)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IFERROR(__xludf.DUMMYFUNCTION("IMPORTRANGE(""https://docs.google.com/spreadsheets/d/1SX6NBoVAgQJ6U1MVXOaj8PK2l7WJ3RER9xtqwdhxkhw/edit?usp=sharing"",""นครนายก!J197"")"),0)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IFERROR(__xludf.DUMMYFUNCTION("IMPORTRANGE(""https://docs.google.com/spreadsheets/d/1SX6NBoVAgQJ6U1MVXOaj8PK2l7WJ3RER9xtqwdhxkhw/edit?usp=sharing"",""นครนายก!I199"")"),0)</f>
        <v>0</v>
      </c>
      <c r="J289" s="317">
        <f ca="1">IFERROR(__xludf.DUMMYFUNCTION("IMPORTRANGE(""https://docs.google.com/spreadsheets/d/1SX6NBoVAgQJ6U1MVXOaj8PK2l7WJ3RER9xtqwdhxkhw/edit?usp=sharing"",""นครนายก!J199"")"),0)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IFERROR(__xludf.DUMMYFUNCTION("IMPORTRANGE(""https://docs.google.com/spreadsheets/d/1Yj_ptqi66GCucihVvJfMjLAmec39IyEx_6qawtMGysU/edit?usp=sharing"",""สบก!CT65"")"),0)</f>
        <v>0</v>
      </c>
      <c r="N294" s="169">
        <f ca="1">IFERROR(__xludf.DUMMYFUNCTION("IMPORTRANGE(""https://docs.google.com/spreadsheets/d/1Yj_ptqi66GCucihVvJfMjLAmec39IyEx_6qawtMGysU/edit?usp=sharing"",""สบก!CU65"")"),0)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IFERROR(__xludf.DUMMYFUNCTION("IMPORTRANGE(""https://docs.google.com/spreadsheets/d/1Yj_ptqi66GCucihVvJfMjLAmec39IyEx_6qawtMGysU/edit?usp=sharing"",""สบก!CR65"")"),0)</f>
        <v>0</v>
      </c>
      <c r="M298" s="49"/>
      <c r="N298" s="49">
        <f ca="1">IFERROR(__xludf.DUMMYFUNCTION("IMPORTRANGE(""https://docs.google.com/spreadsheets/d/1Yj_ptqi66GCucihVvJfMjLAmec39IyEx_6qawtMGysU/edit?usp=sharing"",""สบก!CV65"")"),0)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IFERROR(__xludf.DUMMYFUNCTION("IMPORTRANGE(""https://docs.google.com/spreadsheets/d/1SX6NBoVAgQJ6U1MVXOaj8PK2l7WJ3RER9xtqwdhxkhw/edit?usp=sharing"",""นครนายก!J205"")"),0)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IFERROR(__xludf.DUMMYFUNCTION("IMPORTRANGE(""https://docs.google.com/spreadsheets/d/1SX6NBoVAgQJ6U1MVXOaj8PK2l7WJ3RER9xtqwdhxkhw/edit?usp=sharing"",""นครนายก!J206"")"),0)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IFERROR(__xludf.DUMMYFUNCTION("IMPORTRANGE(""https://docs.google.com/spreadsheets/d/1SX6NBoVAgQJ6U1MVXOaj8PK2l7WJ3RER9xtqwdhxkhw/edit?usp=sharing"",""นครนายก!J207"")"),0)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IFERROR(__xludf.DUMMYFUNCTION("IMPORTRANGE(""https://docs.google.com/spreadsheets/d/1SX6NBoVAgQJ6U1MVXOaj8PK2l7WJ3RER9xtqwdhxkhw/edit?usp=sharing"",""นครนายก!J208"")"),0)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IFERROR(__xludf.DUMMYFUNCTION("IMPORTRANGE(""https://docs.google.com/spreadsheets/d/1SX6NBoVAgQJ6U1MVXOaj8PK2l7WJ3RER9xtqwdhxkhw/edit?usp=sharing"",""นครนายก!I209"")"),0)</f>
        <v>0</v>
      </c>
      <c r="J304" s="204">
        <f ca="1">IFERROR(__xludf.DUMMYFUNCTION("IMPORTRANGE(""https://docs.google.com/spreadsheets/d/1SX6NBoVAgQJ6U1MVXOaj8PK2l7WJ3RER9xtqwdhxkhw/edit?usp=sharing"",""นครนายก!J209"")"),0)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IFERROR(__xludf.DUMMYFUNCTION("IMPORTRANGE(""https://docs.google.com/spreadsheets/d/1SX6NBoVAgQJ6U1MVXOaj8PK2l7WJ3RER9xtqwdhxkhw/edit?usp=sharing"",""นครนายก!I211"")"),0)</f>
        <v>0</v>
      </c>
      <c r="J306" s="204">
        <f ca="1">IFERROR(__xludf.DUMMYFUNCTION("IMPORTRANGE(""https://docs.google.com/spreadsheets/d/1SX6NBoVAgQJ6U1MVXOaj8PK2l7WJ3RER9xtqwdhxkhw/edit?usp=sharing"",""นครนายก!J211"")"),0)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IFERROR(__xludf.DUMMYFUNCTION("IMPORTRANGE(""https://docs.google.com/spreadsheets/d/1SX6NBoVAgQJ6U1MVXOaj8PK2l7WJ3RER9xtqwdhxkhw/edit?usp=sharing"",""นครนายก!J212"")"),0)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IFERROR(__xludf.DUMMYFUNCTION("IMPORTRANGE(""https://docs.google.com/spreadsheets/d/1SX6NBoVAgQJ6U1MVXOaj8PK2l7WJ3RER9xtqwdhxkhw/edit?usp=sharing"",""นครนายก!J213"")"),0)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IFERROR(__xludf.DUMMYFUNCTION("IMPORTRANGE(""https://docs.google.com/spreadsheets/d/1SX6NBoVAgQJ6U1MVXOaj8PK2l7WJ3RER9xtqwdhxkhw/edit?usp=sharing"",""นครนายก!I214"")"),0)</f>
        <v>0</v>
      </c>
      <c r="J309" s="334">
        <f ca="1">IFERROR(__xludf.DUMMYFUNCTION("IMPORTRANGE(""https://docs.google.com/spreadsheets/d/1SX6NBoVAgQJ6U1MVXOaj8PK2l7WJ3RER9xtqwdhxkhw/edit?usp=sharing"",""นครนายก!J214"")"),0)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IFERROR(__xludf.DUMMYFUNCTION("IMPORTRANGE(""https://docs.google.com/spreadsheets/d/1Yj_ptqi66GCucihVvJfMjLAmec39IyEx_6qawtMGysU/edit?usp=sharing"",""สบก!DC65"")"),0)</f>
        <v>0</v>
      </c>
      <c r="N314" s="169">
        <f ca="1">IFERROR(__xludf.DUMMYFUNCTION("IMPORTRANGE(""https://docs.google.com/spreadsheets/d/1Yj_ptqi66GCucihVvJfMjLAmec39IyEx_6qawtMGysU/edit?usp=sharing"",""สบก!DD65"")"),0)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IFERROR(__xludf.DUMMYFUNCTION("IMPORTRANGE(""https://docs.google.com/spreadsheets/d/1Yj_ptqi66GCucihVvJfMjLAmec39IyEx_6qawtMGysU/edit?usp=sharing"",""สบก!DA65"")"),0)</f>
        <v>0</v>
      </c>
      <c r="M318" s="49"/>
      <c r="N318" s="49">
        <f ca="1">IFERROR(__xludf.DUMMYFUNCTION("IMPORTRANGE(""https://docs.google.com/spreadsheets/d/1Yj_ptqi66GCucihVvJfMjLAmec39IyEx_6qawtMGysU/edit?usp=sharing"",""สบก!DE65"")"),0)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IFERROR(__xludf.DUMMYFUNCTION("IMPORTRANGE(""https://docs.google.com/spreadsheets/d/1SX6NBoVAgQJ6U1MVXOaj8PK2l7WJ3RER9xtqwdhxkhw/edit?usp=sharing"",""นครนายก!J220"")"),0)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IFERROR(__xludf.DUMMYFUNCTION("IMPORTRANGE(""https://docs.google.com/spreadsheets/d/1SX6NBoVAgQJ6U1MVXOaj8PK2l7WJ3RER9xtqwdhxkhw/edit?usp=sharing"",""นครนายก!J221"")"),0)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IFERROR(__xludf.DUMMYFUNCTION("IMPORTRANGE(""https://docs.google.com/spreadsheets/d/1SX6NBoVAgQJ6U1MVXOaj8PK2l7WJ3RER9xtqwdhxkhw/edit?usp=sharing"",""นครนายก!J222"")"),0)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IFERROR(__xludf.DUMMYFUNCTION("IMPORTRANGE(""https://docs.google.com/spreadsheets/d/1SX6NBoVAgQJ6U1MVXOaj8PK2l7WJ3RER9xtqwdhxkhw/edit?usp=sharing"",""นครนายก!J223"")"),0)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IFERROR(__xludf.DUMMYFUNCTION("IMPORTRANGE(""https://docs.google.com/spreadsheets/d/1SX6NBoVAgQJ6U1MVXOaj8PK2l7WJ3RER9xtqwdhxkhw/edit?usp=sharing"",""นครนายก!I224"")"),0)</f>
        <v>0</v>
      </c>
      <c r="J324" s="204">
        <f ca="1">IFERROR(__xludf.DUMMYFUNCTION("IMPORTRANGE(""https://docs.google.com/spreadsheets/d/1SX6NBoVAgQJ6U1MVXOaj8PK2l7WJ3RER9xtqwdhxkhw/edit?usp=sharing"",""นครนายก!J224"")"),0)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IFERROR(__xludf.DUMMYFUNCTION("IMPORTRANGE(""https://docs.google.com/spreadsheets/d/1SX6NBoVAgQJ6U1MVXOaj8PK2l7WJ3RER9xtqwdhxkhw/edit?usp=sharing"",""นครนายก!J225"")"),0)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IFERROR(__xludf.DUMMYFUNCTION("IMPORTRANGE(""https://docs.google.com/spreadsheets/d/1SX6NBoVAgQJ6U1MVXOaj8PK2l7WJ3RER9xtqwdhxkhw/edit?usp=sharing"",""นครนายก!J226"")"),0)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IFERROR(__xludf.DUMMYFUNCTION("IMPORTRANGE(""https://docs.google.com/spreadsheets/d/1SX6NBoVAgQJ6U1MVXOaj8PK2l7WJ3RER9xtqwdhxkhw/edit?usp=sharing"",""นครนายก!I228"")"),0)</f>
        <v>0</v>
      </c>
      <c r="J328" s="340">
        <f ca="1">IFERROR(__xludf.DUMMYFUNCTION("IMPORTRANGE(""https://docs.google.com/spreadsheets/d/1SX6NBoVAgQJ6U1MVXOaj8PK2l7WJ3RER9xtqwdhxkhw/edit?usp=sharing"",""นครนายก!J228"")"),0)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749180</v>
      </c>
      <c r="M329" s="152">
        <f t="shared" ca="1" si="98"/>
        <v>782180</v>
      </c>
      <c r="N329" s="152">
        <f t="shared" ca="1" si="98"/>
        <v>580233</v>
      </c>
      <c r="O329" s="151">
        <f t="shared" ref="O329:O331" ca="1" si="99">IF(L329&gt;0,N329*100/L329,0)</f>
        <v>77.449077658239673</v>
      </c>
      <c r="P329" s="151">
        <f t="shared" ref="P329:P331" ca="1" si="100">IF(M329&gt;0,N329*100/M329,0)</f>
        <v>74.181518320591167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749180</v>
      </c>
      <c r="M331" s="157">
        <f t="shared" ca="1" si="102"/>
        <v>782180</v>
      </c>
      <c r="N331" s="157">
        <f t="shared" ca="1" si="102"/>
        <v>580233</v>
      </c>
      <c r="O331" s="156">
        <f t="shared" ca="1" si="99"/>
        <v>77.449077658239673</v>
      </c>
      <c r="P331" s="156">
        <f t="shared" ca="1" si="100"/>
        <v>74.181518320591167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711380</v>
      </c>
      <c r="M333" s="168">
        <f ca="1">IFERROR(__xludf.DUMMYFUNCTION("IMPORTRANGE(""https://docs.google.com/spreadsheets/d/1Yj_ptqi66GCucihVvJfMjLAmec39IyEx_6qawtMGysU/edit?usp=sharing"",""สบก!DL65"")"),744380)</f>
        <v>744380</v>
      </c>
      <c r="N333" s="169">
        <f ca="1">IFERROR(__xludf.DUMMYFUNCTION("IMPORTRANGE(""https://docs.google.com/spreadsheets/d/1Yj_ptqi66GCucihVvJfMjLAmec39IyEx_6qawtMGysU/edit?usp=sharing"",""สบก!DM65"")"),542433)</f>
        <v>542433</v>
      </c>
      <c r="O333" s="169">
        <f ca="1">IF(L333&gt;0,N333*100/L333,0)</f>
        <v>76.250808288116062</v>
      </c>
      <c r="P333" s="169">
        <f ca="1">IF(M333&gt;0,N333*100/M333,0)</f>
        <v>72.870442515919294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IFERROR(__xludf.DUMMYFUNCTION("IMPORTRANGE(""https://docs.google.com/spreadsheets/d/1Yj_ptqi66GCucihVvJfMjLAmec39IyEx_6qawtMGysU/edit?usp=sharing"",""สบก!DH65"")"),529200)</f>
        <v>529200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IFERROR(__xludf.DUMMYFUNCTION("IMPORTRANGE(""https://docs.google.com/spreadsheets/d/1Yj_ptqi66GCucihVvJfMjLAmec39IyEx_6qawtMGysU/edit?usp=sharing"",""สบก!DI65"")"),182180)</f>
        <v>182180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IFERROR(__xludf.DUMMYFUNCTION("IMPORTRANGE(""https://docs.google.com/spreadsheets/d/1Yj_ptqi66GCucihVvJfMjLAmec39IyEx_6qawtMGysU/edit?usp=sharing"",""สบก!DJ65"")"),37800)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IFERROR(__xludf.DUMMYFUNCTION("IMPORTRANGE(""https://docs.google.com/spreadsheets/d/1Yj_ptqi66GCucihVvJfMjLAmec39IyEx_6qawtMGysU/edit?usp=sharing"",""สบก!DN65"")"),37800)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IFERROR(__xludf.DUMMYFUNCTION("IMPORTRANGE(""https://docs.google.com/spreadsheets/d/1SX6NBoVAgQJ6U1MVXOaj8PK2l7WJ3RER9xtqwdhxkhw/edit?usp=sharing"",""นครนายก!I234"")"),0)</f>
        <v>0</v>
      </c>
      <c r="J339" s="188">
        <f ca="1">IFERROR(__xludf.DUMMYFUNCTION("IMPORTRANGE(""https://docs.google.com/spreadsheets/d/1SX6NBoVAgQJ6U1MVXOaj8PK2l7WJ3RER9xtqwdhxkhw/edit?usp=sharing"",""นครนายก!J234"")"),0)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IFERROR(__xludf.DUMMYFUNCTION("IMPORTRANGE(""https://docs.google.com/spreadsheets/d/1SX6NBoVAgQJ6U1MVXOaj8PK2l7WJ3RER9xtqwdhxkhw/edit?usp=sharing"",""นครนายก!I235"")"),0)</f>
        <v>0</v>
      </c>
      <c r="J340" s="188">
        <f ca="1">IFERROR(__xludf.DUMMYFUNCTION("IMPORTRANGE(""https://docs.google.com/spreadsheets/d/1SX6NBoVAgQJ6U1MVXOaj8PK2l7WJ3RER9xtqwdhxkhw/edit?usp=sharing"",""นครนายก!J235"")"),0)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IFERROR(__xludf.DUMMYFUNCTION("IMPORTRANGE(""https://docs.google.com/spreadsheets/d/1SX6NBoVAgQJ6U1MVXOaj8PK2l7WJ3RER9xtqwdhxkhw/edit?usp=sharing"",""นครนายก!I236"")"),0)</f>
        <v>0</v>
      </c>
      <c r="J341" s="188">
        <f ca="1">IFERROR(__xludf.DUMMYFUNCTION("IMPORTRANGE(""https://docs.google.com/spreadsheets/d/1SX6NBoVAgQJ6U1MVXOaj8PK2l7WJ3RER9xtqwdhxkhw/edit?usp=sharing"",""นครนายก!J236"")"),0)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IFERROR(__xludf.DUMMYFUNCTION("IMPORTRANGE(""https://docs.google.com/spreadsheets/d/1SX6NBoVAgQJ6U1MVXOaj8PK2l7WJ3RER9xtqwdhxkhw/edit?usp=sharing"",""นครนายก!I237"")"),0)</f>
        <v>0</v>
      </c>
      <c r="J342" s="188">
        <f ca="1">IFERROR(__xludf.DUMMYFUNCTION("IMPORTRANGE(""https://docs.google.com/spreadsheets/d/1SX6NBoVAgQJ6U1MVXOaj8PK2l7WJ3RER9xtqwdhxkhw/edit?usp=sharing"",""นครนายก!J237"")"),0)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IFERROR(__xludf.DUMMYFUNCTION("IMPORTRANGE(""https://docs.google.com/spreadsheets/d/1SX6NBoVAgQJ6U1MVXOaj8PK2l7WJ3RER9xtqwdhxkhw/edit?usp=sharing"",""นครนายก!I238"")"),0)</f>
        <v>0</v>
      </c>
      <c r="J343" s="188">
        <f ca="1">IFERROR(__xludf.DUMMYFUNCTION("IMPORTRANGE(""https://docs.google.com/spreadsheets/d/1SX6NBoVAgQJ6U1MVXOaj8PK2l7WJ3RER9xtqwdhxkhw/edit?usp=sharing"",""นครนายก!J238"")"),0)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IFERROR(__xludf.DUMMYFUNCTION("IMPORTRANGE(""https://docs.google.com/spreadsheets/d/1SX6NBoVAgQJ6U1MVXOaj8PK2l7WJ3RER9xtqwdhxkhw/edit?usp=sharing"",""นครนายก!I239"")"),0)</f>
        <v>0</v>
      </c>
      <c r="J344" s="188">
        <f ca="1">IFERROR(__xludf.DUMMYFUNCTION("IMPORTRANGE(""https://docs.google.com/spreadsheets/d/1SX6NBoVAgQJ6U1MVXOaj8PK2l7WJ3RER9xtqwdhxkhw/edit?usp=sharing"",""นครนายก!J239"")"),0)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IFERROR(__xludf.DUMMYFUNCTION("IMPORTRANGE(""https://docs.google.com/spreadsheets/d/1SX6NBoVAgQJ6U1MVXOaj8PK2l7WJ3RER9xtqwdhxkhw/edit?usp=sharing"",""นครนายก!I240"")"),0)</f>
        <v>0</v>
      </c>
      <c r="J345" s="188">
        <f ca="1">IFERROR(__xludf.DUMMYFUNCTION("IMPORTRANGE(""https://docs.google.com/spreadsheets/d/1SX6NBoVAgQJ6U1MVXOaj8PK2l7WJ3RER9xtqwdhxkhw/edit?usp=sharing"",""นครนายก!J240"")"),0)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IFERROR(__xludf.DUMMYFUNCTION("IMPORTRANGE(""https://docs.google.com/spreadsheets/d/1SX6NBoVAgQJ6U1MVXOaj8PK2l7WJ3RER9xtqwdhxkhw/edit?usp=sharing"",""นครนายก!I241"")"),0)</f>
        <v>0</v>
      </c>
      <c r="J346" s="188">
        <f ca="1">IFERROR(__xludf.DUMMYFUNCTION("IMPORTRANGE(""https://docs.google.com/spreadsheets/d/1SX6NBoVAgQJ6U1MVXOaj8PK2l7WJ3RER9xtqwdhxkhw/edit?usp=sharing"",""นครนายก!J241"")"),0)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IFERROR(__xludf.DUMMYFUNCTION("IMPORTRANGE(""https://docs.google.com/spreadsheets/d/1SX6NBoVAgQJ6U1MVXOaj8PK2l7WJ3RER9xtqwdhxkhw/edit?usp=sharing"",""นครนายก!L242"")"),786810)</f>
        <v>786810</v>
      </c>
      <c r="M347" s="358"/>
      <c r="N347" s="358">
        <f ca="1">IFERROR(__xludf.DUMMYFUNCTION("IMPORTRANGE(""https://docs.google.com/spreadsheets/d/1SX6NBoVAgQJ6U1MVXOaj8PK2l7WJ3RER9xtqwdhxkhw/edit?usp=sharing"",""นครนายก!M242"")"),544520)</f>
        <v>544520</v>
      </c>
      <c r="O347" s="358">
        <f ca="1">+IF(L347&gt;0,N347*100/L347,0)</f>
        <v>69.206034493715123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IFERROR(__xludf.DUMMYFUNCTION("IMPORTRANGE(""https://docs.google.com/spreadsheets/d/1SX6NBoVAgQJ6U1MVXOaj8PK2l7WJ3RER9xtqwdhxkhw/edit?usp=sharing"",""นครนายก!I244"")"),25)</f>
        <v>25</v>
      </c>
      <c r="J349" s="371">
        <f ca="1">IFERROR(__xludf.DUMMYFUNCTION("IMPORTRANGE(""https://docs.google.com/spreadsheets/d/1SX6NBoVAgQJ6U1MVXOaj8PK2l7WJ3RER9xtqwdhxkhw/edit?usp=sharing"",""นครนายก!J244"")"),0)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IFERROR(__xludf.DUMMYFUNCTION("IMPORTRANGE(""https://docs.google.com/spreadsheets/d/1SX6NBoVAgQJ6U1MVXOaj8PK2l7WJ3RER9xtqwdhxkhw/edit?usp=sharing"",""นครนายก!L244"")"),78920)</f>
        <v>78920</v>
      </c>
      <c r="M349" s="373"/>
      <c r="N349" s="373">
        <f ca="1">IFERROR(__xludf.DUMMYFUNCTION("IMPORTRANGE(""https://docs.google.com/spreadsheets/d/1SX6NBoVAgQJ6U1MVXOaj8PK2l7WJ3RER9xtqwdhxkhw/edit?usp=sharing"",""นครนายก!M244"")"),78920)</f>
        <v>78920</v>
      </c>
      <c r="O349" s="373">
        <f ca="1">+IF(L349&gt;0,N349*100/L349,0)</f>
        <v>100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IFERROR(__xludf.DUMMYFUNCTION("IMPORTRANGE(""https://docs.google.com/spreadsheets/d/1SX6NBoVAgQJ6U1MVXOaj8PK2l7WJ3RER9xtqwdhxkhw/edit?usp=sharing"",""นครนายก!I245"")"),15)</f>
        <v>15</v>
      </c>
      <c r="J350" s="371">
        <f ca="1">IFERROR(__xludf.DUMMYFUNCTION("IMPORTRANGE(""https://docs.google.com/spreadsheets/d/1SX6NBoVAgQJ6U1MVXOaj8PK2l7WJ3RER9xtqwdhxkhw/edit?usp=sharing"",""นครนายก!J245"")"),15)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IFERROR(__xludf.DUMMYFUNCTION("IMPORTRANGE(""https://docs.google.com/spreadsheets/d/1SX6NBoVAgQJ6U1MVXOaj8PK2l7WJ3RER9xtqwdhxkhw/edit?usp=sharing"",""นครนายก!L246"")"),0)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IFERROR(__xludf.DUMMYFUNCTION("IMPORTRANGE(""https://docs.google.com/spreadsheets/d/1SX6NBoVAgQJ6U1MVXOaj8PK2l7WJ3RER9xtqwdhxkhw/edit?usp=sharing"",""นครนายก!M246"")"),0)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IFERROR(__xludf.DUMMYFUNCTION("IMPORTRANGE(""https://docs.google.com/spreadsheets/d/1SX6NBoVAgQJ6U1MVXOaj8PK2l7WJ3RER9xtqwdhxkhw/edit?usp=sharing"",""นครนายก!L247"")"),78920)</f>
        <v>78920</v>
      </c>
      <c r="M352" s="165"/>
      <c r="N352" s="164">
        <f ca="1">IFERROR(__xludf.DUMMYFUNCTION("IMPORTRANGE(""https://docs.google.com/spreadsheets/d/1SX6NBoVAgQJ6U1MVXOaj8PK2l7WJ3RER9xtqwdhxkhw/edit?usp=sharing"",""นครนายก!M247"")"),78920)</f>
        <v>78920</v>
      </c>
      <c r="O352" s="165">
        <f t="shared" ca="1" si="105"/>
        <v>100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IFERROR(__xludf.DUMMYFUNCTION("IMPORTRANGE(""https://docs.google.com/spreadsheets/d/1SX6NBoVAgQJ6U1MVXOaj8PK2l7WJ3RER9xtqwdhxkhw/edit?usp=sharing"",""นครนายก!L248"")"),0)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IFERROR(__xludf.DUMMYFUNCTION("IMPORTRANGE(""https://docs.google.com/spreadsheets/d/1SX6NBoVAgQJ6U1MVXOaj8PK2l7WJ3RER9xtqwdhxkhw/edit?usp=sharing"",""นครนายก!M248"")"),0)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IFERROR(__xludf.DUMMYFUNCTION("IMPORTRANGE(""https://docs.google.com/spreadsheets/d/1SX6NBoVAgQJ6U1MVXOaj8PK2l7WJ3RER9xtqwdhxkhw/edit?usp=sharing"",""นครนายก!L249"")"),78920)</f>
        <v>78920</v>
      </c>
      <c r="M354" s="169"/>
      <c r="N354" s="168">
        <f ca="1">IFERROR(__xludf.DUMMYFUNCTION("IMPORTRANGE(""https://docs.google.com/spreadsheets/d/1SX6NBoVAgQJ6U1MVXOaj8PK2l7WJ3RER9xtqwdhxkhw/edit?usp=sharing"",""นครนายก!M249"")"),78920)</f>
        <v>78920</v>
      </c>
      <c r="O354" s="169">
        <f t="shared" ca="1" si="105"/>
        <v>100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IFERROR(__xludf.DUMMYFUNCTION("IMPORTRANGE(""https://docs.google.com/spreadsheets/d/1SX6NBoVAgQJ6U1MVXOaj8PK2l7WJ3RER9xtqwdhxkhw/edit?usp=sharing"",""นครนายก!M250"")"),25300)</f>
        <v>25300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IFERROR(__xludf.DUMMYFUNCTION("IMPORTRANGE(""https://docs.google.com/spreadsheets/d/1SX6NBoVAgQJ6U1MVXOaj8PK2l7WJ3RER9xtqwdhxkhw/edit?usp=sharing"",""นครนายก!M251"")"),35100)</f>
        <v>35100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IFERROR(__xludf.DUMMYFUNCTION("IMPORTRANGE(""https://docs.google.com/spreadsheets/d/1SX6NBoVAgQJ6U1MVXOaj8PK2l7WJ3RER9xtqwdhxkhw/edit?usp=sharing"",""นครนายก!M252"")"),0)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IFERROR(__xludf.DUMMYFUNCTION("IMPORTRANGE(""https://docs.google.com/spreadsheets/d/1SX6NBoVAgQJ6U1MVXOaj8PK2l7WJ3RER9xtqwdhxkhw/edit?usp=sharing"",""นครนายก!M253"")"),18520)</f>
        <v>18520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IFERROR(__xludf.DUMMYFUNCTION("IMPORTRANGE(""https://docs.google.com/spreadsheets/d/1SX6NBoVAgQJ6U1MVXOaj8PK2l7WJ3RER9xtqwdhxkhw/edit?usp=sharing"",""นครนายก!J255"")"),0)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IFERROR(__xludf.DUMMYFUNCTION("IMPORTRANGE(""https://docs.google.com/spreadsheets/d/1SX6NBoVAgQJ6U1MVXOaj8PK2l7WJ3RER9xtqwdhxkhw/edit?usp=sharing"",""นครนายก!J256"")"),1)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IFERROR(__xludf.DUMMYFUNCTION("IMPORTRANGE(""https://docs.google.com/spreadsheets/d/1SX6NBoVAgQJ6U1MVXOaj8PK2l7WJ3RER9xtqwdhxkhw/edit?usp=sharing"",""นครนายก!J257"")"),1)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IFERROR(__xludf.DUMMYFUNCTION("IMPORTRANGE(""https://docs.google.com/spreadsheets/d/1SX6NBoVAgQJ6U1MVXOaj8PK2l7WJ3RER9xtqwdhxkhw/edit?usp=sharing"",""นครนายก!J258"")"),1)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IFERROR(__xludf.DUMMYFUNCTION("IMPORTRANGE(""https://docs.google.com/spreadsheets/d/1SX6NBoVAgQJ6U1MVXOaj8PK2l7WJ3RER9xtqwdhxkhw/edit?usp=sharing"",""นครนายก!J166"")"),0)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IFERROR(__xludf.DUMMYFUNCTION("IMPORTRANGE(""https://docs.google.com/spreadsheets/d/1SX6NBoVAgQJ6U1MVXOaj8PK2l7WJ3RER9xtqwdhxkhw/edit?usp=sharing"",""นครนายก!J166"")"),0)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IFERROR(__xludf.DUMMYFUNCTION("IMPORTRANGE(""https://docs.google.com/spreadsheets/d/1SX6NBoVAgQJ6U1MVXOaj8PK2l7WJ3RER9xtqwdhxkhw/edit?usp=sharing"",""นครนายก!J166"")"),0)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IFERROR(__xludf.DUMMYFUNCTION("IMPORTRANGE(""https://docs.google.com/spreadsheets/d/1SX6NBoVAgQJ6U1MVXOaj8PK2l7WJ3RER9xtqwdhxkhw/edit?usp=sharing"",""นครนายก!J166"")"),0)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IFERROR(__xludf.DUMMYFUNCTION("IMPORTRANGE(""https://docs.google.com/spreadsheets/d/1SX6NBoVAgQJ6U1MVXOaj8PK2l7WJ3RER9xtqwdhxkhw/edit?usp=sharing"",""นครนายก!I263"")"),15)</f>
        <v>15</v>
      </c>
      <c r="J368" s="188">
        <f ca="1">IFERROR(__xludf.DUMMYFUNCTION("IMPORTRANGE(""https://docs.google.com/spreadsheets/d/1SX6NBoVAgQJ6U1MVXOaj8PK2l7WJ3RER9xtqwdhxkhw/edit?usp=sharing"",""นครนายก!J263"")"),15)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IFERROR(__xludf.DUMMYFUNCTION("IMPORTRANGE(""https://docs.google.com/spreadsheets/d/1SX6NBoVAgQJ6U1MVXOaj8PK2l7WJ3RER9xtqwdhxkhw/edit?usp=sharing"",""นครนายก!I164"")"),0)</f>
        <v>0</v>
      </c>
      <c r="J369" s="204">
        <f ca="1">IFERROR(__xludf.DUMMYFUNCTION("IMPORTRANGE(""https://docs.google.com/spreadsheets/d/1SX6NBoVAgQJ6U1MVXOaj8PK2l7WJ3RER9xtqwdhxkhw/edit?usp=sharing"",""นครนายก!J164"")"),0)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IFERROR(__xludf.DUMMYFUNCTION("IMPORTRANGE(""https://docs.google.com/spreadsheets/d/1SX6NBoVAgQJ6U1MVXOaj8PK2l7WJ3RER9xtqwdhxkhw/edit?usp=sharing"",""นครนายก!I265"")"),15)</f>
        <v>15</v>
      </c>
      <c r="J370" s="204">
        <f ca="1">IFERROR(__xludf.DUMMYFUNCTION("IMPORTRANGE(""https://docs.google.com/spreadsheets/d/1SX6NBoVAgQJ6U1MVXOaj8PK2l7WJ3RER9xtqwdhxkhw/edit?usp=sharing"",""นครนายก!J265"")"),5)</f>
        <v>5</v>
      </c>
      <c r="K370" s="163">
        <f t="shared" ca="1" si="106"/>
        <v>33.333333333333336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IFERROR(__xludf.DUMMYFUNCTION("IMPORTRANGE(""https://docs.google.com/spreadsheets/d/1SX6NBoVAgQJ6U1MVXOaj8PK2l7WJ3RER9xtqwdhxkhw/edit?usp=sharing"",""นครนายก!I164"")"),0)</f>
        <v>0</v>
      </c>
      <c r="J371" s="189">
        <f ca="1">IFERROR(__xludf.DUMMYFUNCTION("IMPORTRANGE(""https://docs.google.com/spreadsheets/d/1SX6NBoVAgQJ6U1MVXOaj8PK2l7WJ3RER9xtqwdhxkhw/edit?usp=sharing"",""นครนายก!J164"")"),0)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IFERROR(__xludf.DUMMYFUNCTION("IMPORTRANGE(""https://docs.google.com/spreadsheets/d/1SX6NBoVAgQJ6U1MVXOaj8PK2l7WJ3RER9xtqwdhxkhw/edit?usp=sharing"",""นครนายก!I267"")"),15)</f>
        <v>15</v>
      </c>
      <c r="J372" s="189">
        <f ca="1">IFERROR(__xludf.DUMMYFUNCTION("IMPORTRANGE(""https://docs.google.com/spreadsheets/d/1SX6NBoVAgQJ6U1MVXOaj8PK2l7WJ3RER9xtqwdhxkhw/edit?usp=sharing"",""นครนายก!J267"")"),10)</f>
        <v>10</v>
      </c>
      <c r="K372" s="163">
        <f t="shared" ca="1" si="106"/>
        <v>66.666666666666671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IFERROR(__xludf.DUMMYFUNCTION("IMPORTRANGE(""https://docs.google.com/spreadsheets/d/1SX6NBoVAgQJ6U1MVXOaj8PK2l7WJ3RER9xtqwdhxkhw/edit?usp=sharing"",""นครนายก!I164"")"),0)</f>
        <v>0</v>
      </c>
      <c r="J373" s="204">
        <f ca="1">IFERROR(__xludf.DUMMYFUNCTION("IMPORTRANGE(""https://docs.google.com/spreadsheets/d/1SX6NBoVAgQJ6U1MVXOaj8PK2l7WJ3RER9xtqwdhxkhw/edit?usp=sharing"",""นครนายก!J164"")"),0)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IFERROR(__xludf.DUMMYFUNCTION("IMPORTRANGE(""https://docs.google.com/spreadsheets/d/1SX6NBoVAgQJ6U1MVXOaj8PK2l7WJ3RER9xtqwdhxkhw/edit?usp=sharing"",""นครนายก!I164"")"),0)</f>
        <v>0</v>
      </c>
      <c r="J374" s="188">
        <f ca="1">IFERROR(__xludf.DUMMYFUNCTION("IMPORTRANGE(""https://docs.google.com/spreadsheets/d/1SX6NBoVAgQJ6U1MVXOaj8PK2l7WJ3RER9xtqwdhxkhw/edit?usp=sharing"",""นครนายก!J164"")"),0)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IFERROR(__xludf.DUMMYFUNCTION("IMPORTRANGE(""https://docs.google.com/spreadsheets/d/1SX6NBoVAgQJ6U1MVXOaj8PK2l7WJ3RER9xtqwdhxkhw/edit?usp=sharing"",""นครนายก!I270"")"),25)</f>
        <v>25</v>
      </c>
      <c r="J375" s="188">
        <f ca="1">IFERROR(__xludf.DUMMYFUNCTION("IMPORTRANGE(""https://docs.google.com/spreadsheets/d/1SX6NBoVAgQJ6U1MVXOaj8PK2l7WJ3RER9xtqwdhxkhw/edit?usp=sharing"",""นครนายก!J270"")"),0)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IFERROR(__xludf.DUMMYFUNCTION("IMPORTRANGE(""https://docs.google.com/spreadsheets/d/1SX6NBoVAgQJ6U1MVXOaj8PK2l7WJ3RER9xtqwdhxkhw/edit?usp=sharing"",""นครนายก!I271"")"),20)</f>
        <v>20</v>
      </c>
      <c r="J376" s="189">
        <f ca="1">IFERROR(__xludf.DUMMYFUNCTION("IMPORTRANGE(""https://docs.google.com/spreadsheets/d/1SX6NBoVAgQJ6U1MVXOaj8PK2l7WJ3RER9xtqwdhxkhw/edit?usp=sharing"",""นครนายก!J271"")"),0)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IFERROR(__xludf.DUMMYFUNCTION("IMPORTRANGE(""https://docs.google.com/spreadsheets/d/1SX6NBoVAgQJ6U1MVXOaj8PK2l7WJ3RER9xtqwdhxkhw/edit?usp=sharing"",""นครนายก!I272"")"),5)</f>
        <v>5</v>
      </c>
      <c r="J377" s="204">
        <f ca="1">IFERROR(__xludf.DUMMYFUNCTION("IMPORTRANGE(""https://docs.google.com/spreadsheets/d/1SX6NBoVAgQJ6U1MVXOaj8PK2l7WJ3RER9xtqwdhxkhw/edit?usp=sharing"",""นครนายก!J272"")"),0)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IFERROR(__xludf.DUMMYFUNCTION("IMPORTRANGE(""https://docs.google.com/spreadsheets/d/1SX6NBoVAgQJ6U1MVXOaj8PK2l7WJ3RER9xtqwdhxkhw/edit?usp=sharing"",""นครนายก!J273"")"),0)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IFERROR(__xludf.DUMMYFUNCTION("IMPORTRANGE(""https://docs.google.com/spreadsheets/d/1SX6NBoVAgQJ6U1MVXOaj8PK2l7WJ3RER9xtqwdhxkhw/edit?usp=sharing"",""นครนายก!J274"")"),0)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IFERROR(__xludf.DUMMYFUNCTION("IMPORTRANGE(""https://docs.google.com/spreadsheets/d/1SX6NBoVAgQJ6U1MVXOaj8PK2l7WJ3RER9xtqwdhxkhw/edit?usp=sharing"",""นครนายก!I275"")"),50)</f>
        <v>50</v>
      </c>
      <c r="J380" s="371">
        <f ca="1">IFERROR(__xludf.DUMMYFUNCTION("IMPORTRANGE(""https://docs.google.com/spreadsheets/d/1SX6NBoVAgQJ6U1MVXOaj8PK2l7WJ3RER9xtqwdhxkhw/edit?usp=sharing"",""นครนายก!J275"")"),50)</f>
        <v>50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IFERROR(__xludf.DUMMYFUNCTION("IMPORTRANGE(""https://docs.google.com/spreadsheets/d/1SX6NBoVAgQJ6U1MVXOaj8PK2l7WJ3RER9xtqwdhxkhw/edit?usp=sharing"",""นครนายก!L275"")"),87710)</f>
        <v>87710</v>
      </c>
      <c r="M380" s="373"/>
      <c r="N380" s="373">
        <f ca="1">IFERROR(__xludf.DUMMYFUNCTION("IMPORTRANGE(""https://docs.google.com/spreadsheets/d/1SX6NBoVAgQJ6U1MVXOaj8PK2l7WJ3RER9xtqwdhxkhw/edit?usp=sharing"",""นครนายก!M275"")"),54690)</f>
        <v>54690</v>
      </c>
      <c r="O380" s="373">
        <f ca="1">+IF(L380&gt;0,N380*100/L380,0)</f>
        <v>62.353209440200658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IFERROR(__xludf.DUMMYFUNCTION("IMPORTRANGE(""https://docs.google.com/spreadsheets/d/1SX6NBoVAgQJ6U1MVXOaj8PK2l7WJ3RER9xtqwdhxkhw/edit?usp=sharing"",""นครนายก!I276"")"),5)</f>
        <v>5</v>
      </c>
      <c r="J381" s="371">
        <f ca="1">IFERROR(__xludf.DUMMYFUNCTION("IMPORTRANGE(""https://docs.google.com/spreadsheets/d/1SX6NBoVAgQJ6U1MVXOaj8PK2l7WJ3RER9xtqwdhxkhw/edit?usp=sharing"",""นครนายก!J276"")"),6)</f>
        <v>6</v>
      </c>
      <c r="K381" s="372">
        <f t="shared" ca="1" si="108"/>
        <v>120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IFERROR(__xludf.DUMMYFUNCTION("IMPORTRANGE(""https://docs.google.com/spreadsheets/d/1SX6NBoVAgQJ6U1MVXOaj8PK2l7WJ3RER9xtqwdhxkhw/edit?usp=sharing"",""นครนายก!L277"")"),0)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IFERROR(__xludf.DUMMYFUNCTION("IMPORTRANGE(""https://docs.google.com/spreadsheets/d/1SX6NBoVAgQJ6U1MVXOaj8PK2l7WJ3RER9xtqwdhxkhw/edit?usp=sharing"",""นครนายก!M277"")"),0)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IFERROR(__xludf.DUMMYFUNCTION("IMPORTRANGE(""https://docs.google.com/spreadsheets/d/1SX6NBoVAgQJ6U1MVXOaj8PK2l7WJ3RER9xtqwdhxkhw/edit?usp=sharing"",""นครนายก!L278"")"),87710)</f>
        <v>87710</v>
      </c>
      <c r="M383" s="165"/>
      <c r="N383" s="165">
        <f ca="1">IFERROR(__xludf.DUMMYFUNCTION("IMPORTRANGE(""https://docs.google.com/spreadsheets/d/1SX6NBoVAgQJ6U1MVXOaj8PK2l7WJ3RER9xtqwdhxkhw/edit?usp=sharing"",""นครนายก!M278"")"),54690)</f>
        <v>54690</v>
      </c>
      <c r="O383" s="165">
        <f t="shared" ca="1" si="109"/>
        <v>62.353209440200658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IFERROR(__xludf.DUMMYFUNCTION("IMPORTRANGE(""https://docs.google.com/spreadsheets/d/1SX6NBoVAgQJ6U1MVXOaj8PK2l7WJ3RER9xtqwdhxkhw/edit?usp=sharing"",""นครนายก!L279"")"),0)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IFERROR(__xludf.DUMMYFUNCTION("IMPORTRANGE(""https://docs.google.com/spreadsheets/d/1SX6NBoVAgQJ6U1MVXOaj8PK2l7WJ3RER9xtqwdhxkhw/edit?usp=sharing"",""นครนายก!M279"")"),0)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IFERROR(__xludf.DUMMYFUNCTION("IMPORTRANGE(""https://docs.google.com/spreadsheets/d/1SX6NBoVAgQJ6U1MVXOaj8PK2l7WJ3RER9xtqwdhxkhw/edit?usp=sharing"",""นครนายก!L280"")"),87710)</f>
        <v>87710</v>
      </c>
      <c r="M385" s="169"/>
      <c r="N385" s="168">
        <f ca="1">IFERROR(__xludf.DUMMYFUNCTION("IMPORTRANGE(""https://docs.google.com/spreadsheets/d/1SX6NBoVAgQJ6U1MVXOaj8PK2l7WJ3RER9xtqwdhxkhw/edit?usp=sharing"",""นครนายก!M280"")"),54690)</f>
        <v>54690</v>
      </c>
      <c r="O385" s="169">
        <f t="shared" ca="1" si="109"/>
        <v>62.353209440200658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IFERROR(__xludf.DUMMYFUNCTION("IMPORTRANGE(""https://docs.google.com/spreadsheets/d/1SX6NBoVAgQJ6U1MVXOaj8PK2l7WJ3RER9xtqwdhxkhw/edit?usp=sharing"",""นครนายก!M281"")"),12740)</f>
        <v>12740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IFERROR(__xludf.DUMMYFUNCTION("IMPORTRANGE(""https://docs.google.com/spreadsheets/d/1SX6NBoVAgQJ6U1MVXOaj8PK2l7WJ3RER9xtqwdhxkhw/edit?usp=sharing"",""นครนายก!M282"")"),31250)</f>
        <v>31250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IFERROR(__xludf.DUMMYFUNCTION("IMPORTRANGE(""https://docs.google.com/spreadsheets/d/1SX6NBoVAgQJ6U1MVXOaj8PK2l7WJ3RER9xtqwdhxkhw/edit?usp=sharing"",""นครนายก!M283"")"),0)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IFERROR(__xludf.DUMMYFUNCTION("IMPORTRANGE(""https://docs.google.com/spreadsheets/d/1SX6NBoVAgQJ6U1MVXOaj8PK2l7WJ3RER9xtqwdhxkhw/edit?usp=sharing"",""นครนายก!M284"")"),10700)</f>
        <v>10700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IFERROR(__xludf.DUMMYFUNCTION("IMPORTRANGE(""https://docs.google.com/spreadsheets/d/1SX6NBoVAgQJ6U1MVXOaj8PK2l7WJ3RER9xtqwdhxkhw/edit?usp=sharing"",""นครนายก!J286"")"),0)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IFERROR(__xludf.DUMMYFUNCTION("IMPORTRANGE(""https://docs.google.com/spreadsheets/d/1SX6NBoVAgQJ6U1MVXOaj8PK2l7WJ3RER9xtqwdhxkhw/edit?usp=sharing"",""นครนายก!J287"")"),1)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IFERROR(__xludf.DUMMYFUNCTION("IMPORTRANGE(""https://docs.google.com/spreadsheets/d/1SX6NBoVAgQJ6U1MVXOaj8PK2l7WJ3RER9xtqwdhxkhw/edit?usp=sharing"",""นครนายก!J288"")"),1)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IFERROR(__xludf.DUMMYFUNCTION("IMPORTRANGE(""https://docs.google.com/spreadsheets/d/1SX6NBoVAgQJ6U1MVXOaj8PK2l7WJ3RER9xtqwdhxkhw/edit?usp=sharing"",""นครนายก!J289"")"),1)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IFERROR(__xludf.DUMMYFUNCTION("IMPORTRANGE(""https://docs.google.com/spreadsheets/d/1SX6NBoVAgQJ6U1MVXOaj8PK2l7WJ3RER9xtqwdhxkhw/edit?usp=sharing"",""นครนายก!I291"")"),5)</f>
        <v>5</v>
      </c>
      <c r="J396" s="198">
        <f ca="1">IFERROR(__xludf.DUMMYFUNCTION("IMPORTRANGE(""https://docs.google.com/spreadsheets/d/1SX6NBoVAgQJ6U1MVXOaj8PK2l7WJ3RER9xtqwdhxkhw/edit?usp=sharing"",""นครนายก!J291"")"),6)</f>
        <v>6</v>
      </c>
      <c r="K396" s="163">
        <f t="shared" ref="K396:K398" ca="1" si="110">IF(I396&gt;0,J396*100/I396,0)</f>
        <v>120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IFERROR(__xludf.DUMMYFUNCTION("IMPORTRANGE(""https://docs.google.com/spreadsheets/d/1SX6NBoVAgQJ6U1MVXOaj8PK2l7WJ3RER9xtqwdhxkhw/edit?usp=sharing"",""นครนายก!I292"")"),50)</f>
        <v>50</v>
      </c>
      <c r="J397" s="198">
        <f ca="1">IFERROR(__xludf.DUMMYFUNCTION("IMPORTRANGE(""https://docs.google.com/spreadsheets/d/1SX6NBoVAgQJ6U1MVXOaj8PK2l7WJ3RER9xtqwdhxkhw/edit?usp=sharing"",""นครนายก!J292"")"),50)</f>
        <v>50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IFERROR(__xludf.DUMMYFUNCTION("IMPORTRANGE(""https://docs.google.com/spreadsheets/d/1SX6NBoVAgQJ6U1MVXOaj8PK2l7WJ3RER9xtqwdhxkhw/edit?usp=sharing"",""นครนายก!I293"")"),5)</f>
        <v>5</v>
      </c>
      <c r="J398" s="198">
        <f ca="1">IFERROR(__xludf.DUMMYFUNCTION("IMPORTRANGE(""https://docs.google.com/spreadsheets/d/1SX6NBoVAgQJ6U1MVXOaj8PK2l7WJ3RER9xtqwdhxkhw/edit?usp=sharing"",""นครนายก!J293"")"),5)</f>
        <v>5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IFERROR(__xludf.DUMMYFUNCTION("IMPORTRANGE(""https://docs.google.com/spreadsheets/d/1SX6NBoVAgQJ6U1MVXOaj8PK2l7WJ3RER9xtqwdhxkhw/edit?usp=sharing"",""นครนายก!J294"")"),0)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IFERROR(__xludf.DUMMYFUNCTION("IMPORTRANGE(""https://docs.google.com/spreadsheets/d/1SX6NBoVAgQJ6U1MVXOaj8PK2l7WJ3RER9xtqwdhxkhw/edit?usp=sharing"",""นครนายก!J295"")"),0)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IFERROR(__xludf.DUMMYFUNCTION("IMPORTRANGE(""https://docs.google.com/spreadsheets/d/1SX6NBoVAgQJ6U1MVXOaj8PK2l7WJ3RER9xtqwdhxkhw/edit?usp=sharing"",""นครนายก!I296"")"),204)</f>
        <v>204</v>
      </c>
      <c r="J401" s="371">
        <f ca="1">IFERROR(__xludf.DUMMYFUNCTION("IMPORTRANGE(""https://docs.google.com/spreadsheets/d/1SX6NBoVAgQJ6U1MVXOaj8PK2l7WJ3RER9xtqwdhxkhw/edit?usp=sharing"",""นครนายก!J296"")"),204)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IFERROR(__xludf.DUMMYFUNCTION("IMPORTRANGE(""https://docs.google.com/spreadsheets/d/1SX6NBoVAgQJ6U1MVXOaj8PK2l7WJ3RER9xtqwdhxkhw/edit?usp=sharing"",""นครนายก!L296"")"),229370)</f>
        <v>229370</v>
      </c>
      <c r="M401" s="373"/>
      <c r="N401" s="373">
        <f ca="1">IFERROR(__xludf.DUMMYFUNCTION("IMPORTRANGE(""https://docs.google.com/spreadsheets/d/1SX6NBoVAgQJ6U1MVXOaj8PK2l7WJ3RER9xtqwdhxkhw/edit?usp=sharing"",""นครนายก!M296"")"),217070)</f>
        <v>217070</v>
      </c>
      <c r="O401" s="373">
        <f ca="1">+IF(L401&gt;0,N401*100/L401,0)</f>
        <v>94.637485285782802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IFERROR(__xludf.DUMMYFUNCTION("IMPORTRANGE(""https://docs.google.com/spreadsheets/d/1SX6NBoVAgQJ6U1MVXOaj8PK2l7WJ3RER9xtqwdhxkhw/edit?usp=sharing"",""นครนายก!I297"")"),68)</f>
        <v>68</v>
      </c>
      <c r="J402" s="371">
        <f ca="1">IFERROR(__xludf.DUMMYFUNCTION("IMPORTRANGE(""https://docs.google.com/spreadsheets/d/1SX6NBoVAgQJ6U1MVXOaj8PK2l7WJ3RER9xtqwdhxkhw/edit?usp=sharing"",""นครนายก!J297"")"),68)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IFERROR(__xludf.DUMMYFUNCTION("IMPORTRANGE(""https://docs.google.com/spreadsheets/d/1SX6NBoVAgQJ6U1MVXOaj8PK2l7WJ3RER9xtqwdhxkhw/edit?usp=sharing"",""นครนายก!L298"")"),0)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IFERROR(__xludf.DUMMYFUNCTION("IMPORTRANGE(""https://docs.google.com/spreadsheets/d/1SX6NBoVAgQJ6U1MVXOaj8PK2l7WJ3RER9xtqwdhxkhw/edit?usp=sharing"",""นครนายก!M298"")"),0)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IFERROR(__xludf.DUMMYFUNCTION("IMPORTRANGE(""https://docs.google.com/spreadsheets/d/1SX6NBoVAgQJ6U1MVXOaj8PK2l7WJ3RER9xtqwdhxkhw/edit?usp=sharing"",""นครนายก!L299"")"),229370)</f>
        <v>229370</v>
      </c>
      <c r="M404" s="165"/>
      <c r="N404" s="169">
        <f ca="1">IFERROR(__xludf.DUMMYFUNCTION("IMPORTRANGE(""https://docs.google.com/spreadsheets/d/1SX6NBoVAgQJ6U1MVXOaj8PK2l7WJ3RER9xtqwdhxkhw/edit?usp=sharing"",""นครนายก!M299"")"),217070)</f>
        <v>217070</v>
      </c>
      <c r="O404" s="169">
        <f t="shared" ca="1" si="112"/>
        <v>94.637485285782802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IFERROR(__xludf.DUMMYFUNCTION("IMPORTRANGE(""https://docs.google.com/spreadsheets/d/1SX6NBoVAgQJ6U1MVXOaj8PK2l7WJ3RER9xtqwdhxkhw/edit?usp=sharing"",""นครนายก!L300"")"),0)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IFERROR(__xludf.DUMMYFUNCTION("IMPORTRANGE(""https://docs.google.com/spreadsheets/d/1SX6NBoVAgQJ6U1MVXOaj8PK2l7WJ3RER9xtqwdhxkhw/edit?usp=sharing"",""นครนายก!M300"")"),0)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IFERROR(__xludf.DUMMYFUNCTION("IMPORTRANGE(""https://docs.google.com/spreadsheets/d/1SX6NBoVAgQJ6U1MVXOaj8PK2l7WJ3RER9xtqwdhxkhw/edit?usp=sharing"",""นครนายก!L301"")"),229370)</f>
        <v>229370</v>
      </c>
      <c r="M406" s="169"/>
      <c r="N406" s="169">
        <f ca="1">IFERROR(__xludf.DUMMYFUNCTION("IMPORTRANGE(""https://docs.google.com/spreadsheets/d/1SX6NBoVAgQJ6U1MVXOaj8PK2l7WJ3RER9xtqwdhxkhw/edit?usp=sharing"",""นครนายก!M301"")"),217070)</f>
        <v>217070</v>
      </c>
      <c r="O406" s="169">
        <f t="shared" ca="1" si="112"/>
        <v>94.637485285782802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IFERROR(__xludf.DUMMYFUNCTION("IMPORTRANGE(""https://docs.google.com/spreadsheets/d/1SX6NBoVAgQJ6U1MVXOaj8PK2l7WJ3RER9xtqwdhxkhw/edit?usp=sharing"",""นครนายก!M302"")"),122050)</f>
        <v>122050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IFERROR(__xludf.DUMMYFUNCTION("IMPORTRANGE(""https://docs.google.com/spreadsheets/d/1SX6NBoVAgQJ6U1MVXOaj8PK2l7WJ3RER9xtqwdhxkhw/edit?usp=sharing"",""นครนายก!M303"")"),62500)</f>
        <v>62500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IFERROR(__xludf.DUMMYFUNCTION("IMPORTRANGE(""https://docs.google.com/spreadsheets/d/1SX6NBoVAgQJ6U1MVXOaj8PK2l7WJ3RER9xtqwdhxkhw/edit?usp=sharing"",""นครนายก!M304"")"),0)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IFERROR(__xludf.DUMMYFUNCTION("IMPORTRANGE(""https://docs.google.com/spreadsheets/d/1SX6NBoVAgQJ6U1MVXOaj8PK2l7WJ3RER9xtqwdhxkhw/edit?usp=sharing"",""นครนายก!M305"")"),32520)</f>
        <v>32520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IFERROR(__xludf.DUMMYFUNCTION("IMPORTRANGE(""https://docs.google.com/spreadsheets/d/1SX6NBoVAgQJ6U1MVXOaj8PK2l7WJ3RER9xtqwdhxkhw/edit?usp=sharing"",""นครนายก!J307"")"),0)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IFERROR(__xludf.DUMMYFUNCTION("IMPORTRANGE(""https://docs.google.com/spreadsheets/d/1SX6NBoVAgQJ6U1MVXOaj8PK2l7WJ3RER9xtqwdhxkhw/edit?usp=sharing"",""นครนายก!J308"")"),1)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IFERROR(__xludf.DUMMYFUNCTION("IMPORTRANGE(""https://docs.google.com/spreadsheets/d/1SX6NBoVAgQJ6U1MVXOaj8PK2l7WJ3RER9xtqwdhxkhw/edit?usp=sharing"",""นครนายก!J309"")"),1)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IFERROR(__xludf.DUMMYFUNCTION("IMPORTRANGE(""https://docs.google.com/spreadsheets/d/1SX6NBoVAgQJ6U1MVXOaj8PK2l7WJ3RER9xtqwdhxkhw/edit?usp=sharing"",""นครนายก!J310"")"),1)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IFERROR(__xludf.DUMMYFUNCTION("IMPORTRANGE(""https://docs.google.com/spreadsheets/d/1SX6NBoVAgQJ6U1MVXOaj8PK2l7WJ3RER9xtqwdhxkhw/edit?usp=sharing"",""นครนายก!I311"")"),68)</f>
        <v>68</v>
      </c>
      <c r="J416" s="201">
        <f ca="1">IFERROR(__xludf.DUMMYFUNCTION("IMPORTRANGE(""https://docs.google.com/spreadsheets/d/1SX6NBoVAgQJ6U1MVXOaj8PK2l7WJ3RER9xtqwdhxkhw/edit?usp=sharing"",""นครนายก!J311"")"),68)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IFERROR(__xludf.DUMMYFUNCTION("IMPORTRANGE(""https://docs.google.com/spreadsheets/d/1SX6NBoVAgQJ6U1MVXOaj8PK2l7WJ3RER9xtqwdhxkhw/edit?usp=sharing"",""นครนายก!I312"")"),30)</f>
        <v>30</v>
      </c>
      <c r="J417" s="392">
        <f ca="1">IFERROR(__xludf.DUMMYFUNCTION("IMPORTRANGE(""https://docs.google.com/spreadsheets/d/1SX6NBoVAgQJ6U1MVXOaj8PK2l7WJ3RER9xtqwdhxkhw/edit?usp=sharing"",""นครนายก!J312"")"),30)</f>
        <v>30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IFERROR(__xludf.DUMMYFUNCTION("IMPORTRANGE(""https://docs.google.com/spreadsheets/d/1SX6NBoVAgQJ6U1MVXOaj8PK2l7WJ3RER9xtqwdhxkhw/edit?usp=sharing"",""นครนายก!I313"")"),90)</f>
        <v>90</v>
      </c>
      <c r="J418" s="393">
        <f ca="1">IFERROR(__xludf.DUMMYFUNCTION("IMPORTRANGE(""https://docs.google.com/spreadsheets/d/1SX6NBoVAgQJ6U1MVXOaj8PK2l7WJ3RER9xtqwdhxkhw/edit?usp=sharing"",""นครนายก!J313"")"),90)</f>
        <v>90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IFERROR(__xludf.DUMMYFUNCTION("IMPORTRANGE(""https://docs.google.com/spreadsheets/d/1SX6NBoVAgQJ6U1MVXOaj8PK2l7WJ3RER9xtqwdhxkhw/edit?usp=sharing"",""นครนายก!I314"")"),30)</f>
        <v>30</v>
      </c>
      <c r="J419" s="394">
        <f ca="1">IFERROR(__xludf.DUMMYFUNCTION("IMPORTRANGE(""https://docs.google.com/spreadsheets/d/1SX6NBoVAgQJ6U1MVXOaj8PK2l7WJ3RER9xtqwdhxkhw/edit?usp=sharing"",""นครนายก!J314"")"),30)</f>
        <v>30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IFERROR(__xludf.DUMMYFUNCTION("IMPORTRANGE(""https://docs.google.com/spreadsheets/d/1SX6NBoVAgQJ6U1MVXOaj8PK2l7WJ3RER9xtqwdhxkhw/edit?usp=sharing"",""นครนายก!I315"")"),30)</f>
        <v>30</v>
      </c>
      <c r="J420" s="394">
        <f ca="1">IFERROR(__xludf.DUMMYFUNCTION("IMPORTRANGE(""https://docs.google.com/spreadsheets/d/1SX6NBoVAgQJ6U1MVXOaj8PK2l7WJ3RER9xtqwdhxkhw/edit?usp=sharing"",""นครนายก!J315"")"),30)</f>
        <v>30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IFERROR(__xludf.DUMMYFUNCTION("IMPORTRANGE(""https://docs.google.com/spreadsheets/d/1SX6NBoVAgQJ6U1MVXOaj8PK2l7WJ3RER9xtqwdhxkhw/edit?usp=sharing"",""นครนายก!I316"")"),25)</f>
        <v>25</v>
      </c>
      <c r="J421" s="392">
        <f ca="1">IFERROR(__xludf.DUMMYFUNCTION("IMPORTRANGE(""https://docs.google.com/spreadsheets/d/1SX6NBoVAgQJ6U1MVXOaj8PK2l7WJ3RER9xtqwdhxkhw/edit?usp=sharing"",""นครนายก!J316"")"),25)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IFERROR(__xludf.DUMMYFUNCTION("IMPORTRANGE(""https://docs.google.com/spreadsheets/d/1SX6NBoVAgQJ6U1MVXOaj8PK2l7WJ3RER9xtqwdhxkhw/edit?usp=sharing"",""นครนายก!I317"")"),75)</f>
        <v>75</v>
      </c>
      <c r="J422" s="393">
        <f ca="1">IFERROR(__xludf.DUMMYFUNCTION("IMPORTRANGE(""https://docs.google.com/spreadsheets/d/1SX6NBoVAgQJ6U1MVXOaj8PK2l7WJ3RER9xtqwdhxkhw/edit?usp=sharing"",""นครนายก!J317"")"),75)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IFERROR(__xludf.DUMMYFUNCTION("IMPORTRANGE(""https://docs.google.com/spreadsheets/d/1SX6NBoVAgQJ6U1MVXOaj8PK2l7WJ3RER9xtqwdhxkhw/edit?usp=sharing"",""นครนายก!I318"")"),25)</f>
        <v>25</v>
      </c>
      <c r="J423" s="394">
        <f ca="1">IFERROR(__xludf.DUMMYFUNCTION("IMPORTRANGE(""https://docs.google.com/spreadsheets/d/1SX6NBoVAgQJ6U1MVXOaj8PK2l7WJ3RER9xtqwdhxkhw/edit?usp=sharing"",""นครนายก!J318"")"),25)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IFERROR(__xludf.DUMMYFUNCTION("IMPORTRANGE(""https://docs.google.com/spreadsheets/d/1SX6NBoVAgQJ6U1MVXOaj8PK2l7WJ3RER9xtqwdhxkhw/edit?usp=sharing"",""นครนายก!I319"")"),25)</f>
        <v>25</v>
      </c>
      <c r="J424" s="394">
        <f ca="1">IFERROR(__xludf.DUMMYFUNCTION("IMPORTRANGE(""https://docs.google.com/spreadsheets/d/1SX6NBoVAgQJ6U1MVXOaj8PK2l7WJ3RER9xtqwdhxkhw/edit?usp=sharing"",""นครนายก!J319"")"),25)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IFERROR(__xludf.DUMMYFUNCTION("IMPORTRANGE(""https://docs.google.com/spreadsheets/d/1SX6NBoVAgQJ6U1MVXOaj8PK2l7WJ3RER9xtqwdhxkhw/edit?usp=sharing"",""นครนายก!I320"")"),25)</f>
        <v>25</v>
      </c>
      <c r="J425" s="394">
        <f ca="1">IFERROR(__xludf.DUMMYFUNCTION("IMPORTRANGE(""https://docs.google.com/spreadsheets/d/1SX6NBoVAgQJ6U1MVXOaj8PK2l7WJ3RER9xtqwdhxkhw/edit?usp=sharing"",""นครนายก!J320"")"),25)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IFERROR(__xludf.DUMMYFUNCTION("IMPORTRANGE(""https://docs.google.com/spreadsheets/d/1SX6NBoVAgQJ6U1MVXOaj8PK2l7WJ3RER9xtqwdhxkhw/edit?usp=sharing"",""นครนายก!I321"")"),13)</f>
        <v>13</v>
      </c>
      <c r="J426" s="392">
        <f ca="1">IFERROR(__xludf.DUMMYFUNCTION("IMPORTRANGE(""https://docs.google.com/spreadsheets/d/1SX6NBoVAgQJ6U1MVXOaj8PK2l7WJ3RER9xtqwdhxkhw/edit?usp=sharing"",""นครนายก!J321"")"),13)</f>
        <v>13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IFERROR(__xludf.DUMMYFUNCTION("IMPORTRANGE(""https://docs.google.com/spreadsheets/d/1SX6NBoVAgQJ6U1MVXOaj8PK2l7WJ3RER9xtqwdhxkhw/edit?usp=sharing"",""นครนายก!I322"")"),39)</f>
        <v>39</v>
      </c>
      <c r="J427" s="393">
        <f ca="1">IFERROR(__xludf.DUMMYFUNCTION("IMPORTRANGE(""https://docs.google.com/spreadsheets/d/1SX6NBoVAgQJ6U1MVXOaj8PK2l7WJ3RER9xtqwdhxkhw/edit?usp=sharing"",""นครนายก!J322"")"),39)</f>
        <v>39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IFERROR(__xludf.DUMMYFUNCTION("IMPORTRANGE(""https://docs.google.com/spreadsheets/d/1SX6NBoVAgQJ6U1MVXOaj8PK2l7WJ3RER9xtqwdhxkhw/edit?usp=sharing"",""นครนายก!I323"")"),13)</f>
        <v>13</v>
      </c>
      <c r="J428" s="394">
        <f ca="1">IFERROR(__xludf.DUMMYFUNCTION("IMPORTRANGE(""https://docs.google.com/spreadsheets/d/1SX6NBoVAgQJ6U1MVXOaj8PK2l7WJ3RER9xtqwdhxkhw/edit?usp=sharing"",""นครนายก!J323"")"),13)</f>
        <v>13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IFERROR(__xludf.DUMMYFUNCTION("IMPORTRANGE(""https://docs.google.com/spreadsheets/d/1SX6NBoVAgQJ6U1MVXOaj8PK2l7WJ3RER9xtqwdhxkhw/edit?usp=sharing"",""นครนายก!I324"")"),13)</f>
        <v>13</v>
      </c>
      <c r="J429" s="394">
        <f ca="1">IFERROR(__xludf.DUMMYFUNCTION("IMPORTRANGE(""https://docs.google.com/spreadsheets/d/1SX6NBoVAgQJ6U1MVXOaj8PK2l7WJ3RER9xtqwdhxkhw/edit?usp=sharing"",""นครนายก!J324"")"),13)</f>
        <v>13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IFERROR(__xludf.DUMMYFUNCTION("IMPORTRANGE(""https://docs.google.com/spreadsheets/d/1SX6NBoVAgQJ6U1MVXOaj8PK2l7WJ3RER9xtqwdhxkhw/edit?usp=sharing"",""นครนายก!I325"")"),55)</f>
        <v>55</v>
      </c>
      <c r="J430" s="392">
        <f ca="1">IFERROR(__xludf.DUMMYFUNCTION("IMPORTRANGE(""https://docs.google.com/spreadsheets/d/1SX6NBoVAgQJ6U1MVXOaj8PK2l7WJ3RER9xtqwdhxkhw/edit?usp=sharing"",""นครนายก!J325"")"),55)</f>
        <v>55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IFERROR(__xludf.DUMMYFUNCTION("IMPORTRANGE(""https://docs.google.com/spreadsheets/d/1SX6NBoVAgQJ6U1MVXOaj8PK2l7WJ3RER9xtqwdhxkhw/edit?usp=sharing"",""นครนายก!I326"")"),30)</f>
        <v>30</v>
      </c>
      <c r="J431" s="394">
        <f ca="1">IFERROR(__xludf.DUMMYFUNCTION("IMPORTRANGE(""https://docs.google.com/spreadsheets/d/1SX6NBoVAgQJ6U1MVXOaj8PK2l7WJ3RER9xtqwdhxkhw/edit?usp=sharing"",""นครนายก!J326"")"),30)</f>
        <v>30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IFERROR(__xludf.DUMMYFUNCTION("IMPORTRANGE(""https://docs.google.com/spreadsheets/d/1SX6NBoVAgQJ6U1MVXOaj8PK2l7WJ3RER9xtqwdhxkhw/edit?usp=sharing"",""นครนายก!I327"")"),25)</f>
        <v>25</v>
      </c>
      <c r="J432" s="394">
        <f ca="1">IFERROR(__xludf.DUMMYFUNCTION("IMPORTRANGE(""https://docs.google.com/spreadsheets/d/1SX6NBoVAgQJ6U1MVXOaj8PK2l7WJ3RER9xtqwdhxkhw/edit?usp=sharing"",""นครนายก!J327"")"),25)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IFERROR(__xludf.DUMMYFUNCTION("IMPORTRANGE(""https://docs.google.com/spreadsheets/d/1SX6NBoVAgQJ6U1MVXOaj8PK2l7WJ3RER9xtqwdhxkhw/edit?usp=sharing"",""นครนายก!J328"")"),0)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IFERROR(__xludf.DUMMYFUNCTION("IMPORTRANGE(""https://docs.google.com/spreadsheets/d/1SX6NBoVAgQJ6U1MVXOaj8PK2l7WJ3RER9xtqwdhxkhw/edit?usp=sharing"",""นครนายก!J329"")"),0)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IFERROR(__xludf.DUMMYFUNCTION("IMPORTRANGE(""https://docs.google.com/spreadsheets/d/1SX6NBoVAgQJ6U1MVXOaj8PK2l7WJ3RER9xtqwdhxkhw/edit?usp=sharing"",""นครนายก!I330"")"),84)</f>
        <v>84</v>
      </c>
      <c r="J435" s="410">
        <f ca="1">IFERROR(__xludf.DUMMYFUNCTION("IMPORTRANGE(""https://docs.google.com/spreadsheets/d/1SX6NBoVAgQJ6U1MVXOaj8PK2l7WJ3RER9xtqwdhxkhw/edit?usp=sharing"",""นครนายก!J330"")"),84)</f>
        <v>84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IFERROR(__xludf.DUMMYFUNCTION("IMPORTRANGE(""https://docs.google.com/spreadsheets/d/1SX6NBoVAgQJ6U1MVXOaj8PK2l7WJ3RER9xtqwdhxkhw/edit?usp=sharing"",""นครนายก!L330"")"),230000)</f>
        <v>230000</v>
      </c>
      <c r="M435" s="412"/>
      <c r="N435" s="412">
        <f ca="1">IFERROR(__xludf.DUMMYFUNCTION("IMPORTRANGE(""https://docs.google.com/spreadsheets/d/1SX6NBoVAgQJ6U1MVXOaj8PK2l7WJ3RER9xtqwdhxkhw/edit?usp=sharing"",""นครนายก!M330"")"),136390)</f>
        <v>136390</v>
      </c>
      <c r="O435" s="412">
        <f t="shared" ref="O435:O439" ca="1" si="114">+IF(L435&gt;0,N435*100/L435,0)</f>
        <v>59.3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IFERROR(__xludf.DUMMYFUNCTION("IMPORTRANGE(""https://docs.google.com/spreadsheets/d/1SX6NBoVAgQJ6U1MVXOaj8PK2l7WJ3RER9xtqwdhxkhw/edit?usp=sharing"",""นครนายก!L331"")"),0)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IFERROR(__xludf.DUMMYFUNCTION("IMPORTRANGE(""https://docs.google.com/spreadsheets/d/1SX6NBoVAgQJ6U1MVXOaj8PK2l7WJ3RER9xtqwdhxkhw/edit?usp=sharing"",""นครนายก!M331"")"),0)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IFERROR(__xludf.DUMMYFUNCTION("IMPORTRANGE(""https://docs.google.com/spreadsheets/d/1SX6NBoVAgQJ6U1MVXOaj8PK2l7WJ3RER9xtqwdhxkhw/edit?usp=sharing"",""นครนายก!L332"")"),230000)</f>
        <v>230000</v>
      </c>
      <c r="M437" s="165"/>
      <c r="N437" s="169">
        <f ca="1">IFERROR(__xludf.DUMMYFUNCTION("IMPORTRANGE(""https://docs.google.com/spreadsheets/d/1SX6NBoVAgQJ6U1MVXOaj8PK2l7WJ3RER9xtqwdhxkhw/edit?usp=sharing"",""นครนายก!M332"")"),136390)</f>
        <v>136390</v>
      </c>
      <c r="O437" s="169">
        <f t="shared" ca="1" si="114"/>
        <v>59.3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IFERROR(__xludf.DUMMYFUNCTION("IMPORTRANGE(""https://docs.google.com/spreadsheets/d/1SX6NBoVAgQJ6U1MVXOaj8PK2l7WJ3RER9xtqwdhxkhw/edit?usp=sharing"",""นครนายก!L333"")"),0)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IFERROR(__xludf.DUMMYFUNCTION("IMPORTRANGE(""https://docs.google.com/spreadsheets/d/1SX6NBoVAgQJ6U1MVXOaj8PK2l7WJ3RER9xtqwdhxkhw/edit?usp=sharing"",""นครนายก!M333"")"),0)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IFERROR(__xludf.DUMMYFUNCTION("IMPORTRANGE(""https://docs.google.com/spreadsheets/d/1SX6NBoVAgQJ6U1MVXOaj8PK2l7WJ3RER9xtqwdhxkhw/edit?usp=sharing"",""นครนายก!L334"")"),230000)</f>
        <v>230000</v>
      </c>
      <c r="M439" s="169"/>
      <c r="N439" s="169">
        <f ca="1">IFERROR(__xludf.DUMMYFUNCTION("IMPORTRANGE(""https://docs.google.com/spreadsheets/d/1SX6NBoVAgQJ6U1MVXOaj8PK2l7WJ3RER9xtqwdhxkhw/edit?usp=sharing"",""นครนายก!M334"")"),136390)</f>
        <v>136390</v>
      </c>
      <c r="O439" s="169">
        <f t="shared" ca="1" si="114"/>
        <v>59.3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IFERROR(__xludf.DUMMYFUNCTION("IMPORTRANGE(""https://docs.google.com/spreadsheets/d/1SX6NBoVAgQJ6U1MVXOaj8PK2l7WJ3RER9xtqwdhxkhw/edit?usp=sharing"",""นครนายก!M335"")"),134890)</f>
        <v>134890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IFERROR(__xludf.DUMMYFUNCTION("IMPORTRANGE(""https://docs.google.com/spreadsheets/d/1SX6NBoVAgQJ6U1MVXOaj8PK2l7WJ3RER9xtqwdhxkhw/edit?usp=sharing"",""นครนายก!M336"")"),0)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IFERROR(__xludf.DUMMYFUNCTION("IMPORTRANGE(""https://docs.google.com/spreadsheets/d/1SX6NBoVAgQJ6U1MVXOaj8PK2l7WJ3RER9xtqwdhxkhw/edit?usp=sharing"",""นครนายก!M337"")"),0)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IFERROR(__xludf.DUMMYFUNCTION("IMPORTRANGE(""https://docs.google.com/spreadsheets/d/1SX6NBoVAgQJ6U1MVXOaj8PK2l7WJ3RER9xtqwdhxkhw/edit?usp=sharing"",""นครนายก!M338"")"),1500)</f>
        <v>1500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IFERROR(__xludf.DUMMYFUNCTION("IMPORTRANGE(""https://docs.google.com/spreadsheets/d/1SX6NBoVAgQJ6U1MVXOaj8PK2l7WJ3RER9xtqwdhxkhw/edit?usp=sharing"",""นครนายก!J340"")"),0)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IFERROR(__xludf.DUMMYFUNCTION("IMPORTRANGE(""https://docs.google.com/spreadsheets/d/1SX6NBoVAgQJ6U1MVXOaj8PK2l7WJ3RER9xtqwdhxkhw/edit?usp=sharing"",""นครนายก!J341"")"),1)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IFERROR(__xludf.DUMMYFUNCTION("IMPORTRANGE(""https://docs.google.com/spreadsheets/d/1SX6NBoVAgQJ6U1MVXOaj8PK2l7WJ3RER9xtqwdhxkhw/edit?usp=sharing"",""นครนายก!J342"")"),1)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IFERROR(__xludf.DUMMYFUNCTION("IMPORTRANGE(""https://docs.google.com/spreadsheets/d/1SX6NBoVAgQJ6U1MVXOaj8PK2l7WJ3RER9xtqwdhxkhw/edit?usp=sharing"",""นครนายก!J343"")"),1)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IFERROR(__xludf.DUMMYFUNCTION("IMPORTRANGE(""https://docs.google.com/spreadsheets/d/1SX6NBoVAgQJ6U1MVXOaj8PK2l7WJ3RER9xtqwdhxkhw/edit?usp=sharing"",""นครนายก!I344"")"),84)</f>
        <v>84</v>
      </c>
      <c r="J449" s="201">
        <f ca="1">IFERROR(__xludf.DUMMYFUNCTION("IMPORTRANGE(""https://docs.google.com/spreadsheets/d/1SX6NBoVAgQJ6U1MVXOaj8PK2l7WJ3RER9xtqwdhxkhw/edit?usp=sharing"",""นครนายก!J344"")"),84)</f>
        <v>84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IFERROR(__xludf.DUMMYFUNCTION("IMPORTRANGE(""https://docs.google.com/spreadsheets/d/1SX6NBoVAgQJ6U1MVXOaj8PK2l7WJ3RER9xtqwdhxkhw/edit?usp=sharing"",""นครนายก!I345"")"),24)</f>
        <v>24</v>
      </c>
      <c r="J450" s="189">
        <f ca="1">IFERROR(__xludf.DUMMYFUNCTION("IMPORTRANGE(""https://docs.google.com/spreadsheets/d/1SX6NBoVAgQJ6U1MVXOaj8PK2l7WJ3RER9xtqwdhxkhw/edit?usp=sharing"",""นครนายก!J345"")"),24)</f>
        <v>24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IFERROR(__xludf.DUMMYFUNCTION("IMPORTRANGE(""https://docs.google.com/spreadsheets/d/1SX6NBoVAgQJ6U1MVXOaj8PK2l7WJ3RER9xtqwdhxkhw/edit?usp=sharing"",""นครนายก!I346"")"),60)</f>
        <v>60</v>
      </c>
      <c r="J451" s="188">
        <f ca="1">IFERROR(__xludf.DUMMYFUNCTION("IMPORTRANGE(""https://docs.google.com/spreadsheets/d/1SX6NBoVAgQJ6U1MVXOaj8PK2l7WJ3RER9xtqwdhxkhw/edit?usp=sharing"",""นครนายก!J346"")"),60)</f>
        <v>60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IFERROR(__xludf.DUMMYFUNCTION("IMPORTRANGE(""https://docs.google.com/spreadsheets/d/1SX6NBoVAgQJ6U1MVXOaj8PK2l7WJ3RER9xtqwdhxkhw/edit?usp=sharing"",""นครนายก!I347"")"),0)</f>
        <v>0</v>
      </c>
      <c r="J452" s="188">
        <f ca="1">IFERROR(__xludf.DUMMYFUNCTION("IMPORTRANGE(""https://docs.google.com/spreadsheets/d/1SX6NBoVAgQJ6U1MVXOaj8PK2l7WJ3RER9xtqwdhxkhw/edit?usp=sharing"",""นครนายก!J347"")"),0)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IFERROR(__xludf.DUMMYFUNCTION("IMPORTRANGE(""https://docs.google.com/spreadsheets/d/1SX6NBoVAgQJ6U1MVXOaj8PK2l7WJ3RER9xtqwdhxkhw/edit?usp=sharing"",""นครนายก!J348"")"),0)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IFERROR(__xludf.DUMMYFUNCTION("IMPORTRANGE(""https://docs.google.com/spreadsheets/d/1SX6NBoVAgQJ6U1MVXOaj8PK2l7WJ3RER9xtqwdhxkhw/edit?usp=sharing"",""นครนายก!J349"")"),0)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IFERROR(__xludf.DUMMYFUNCTION("IMPORTRANGE(""https://docs.google.com/spreadsheets/d/1SX6NBoVAgQJ6U1MVXOaj8PK2l7WJ3RER9xtqwdhxkhw/edit?usp=sharing"",""นครนายก!I350"")"),0)</f>
        <v>0</v>
      </c>
      <c r="J455" s="371">
        <f ca="1">IFERROR(__xludf.DUMMYFUNCTION("IMPORTRANGE(""https://docs.google.com/spreadsheets/d/1SX6NBoVAgQJ6U1MVXOaj8PK2l7WJ3RER9xtqwdhxkhw/edit?usp=sharing"",""นครนายก!J350"")"),0)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IFERROR(__xludf.DUMMYFUNCTION("IMPORTRANGE(""https://docs.google.com/spreadsheets/d/1SX6NBoVAgQJ6U1MVXOaj8PK2l7WJ3RER9xtqwdhxkhw/edit?usp=sharing"",""นครนายก!L350"")"),0)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IFERROR(__xludf.DUMMYFUNCTION("IMPORTRANGE(""https://docs.google.com/spreadsheets/d/1SX6NBoVAgQJ6U1MVXOaj8PK2l7WJ3RER9xtqwdhxkhw/edit?usp=sharing"",""นครนายก!M350"")"),0)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IFERROR(__xludf.DUMMYFUNCTION("IMPORTRANGE(""https://docs.google.com/spreadsheets/d/1SX6NBoVAgQJ6U1MVXOaj8PK2l7WJ3RER9xtqwdhxkhw/edit?usp=sharing"",""นครนายก!L351"")"),0)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IFERROR(__xludf.DUMMYFUNCTION("IMPORTRANGE(""https://docs.google.com/spreadsheets/d/1SX6NBoVAgQJ6U1MVXOaj8PK2l7WJ3RER9xtqwdhxkhw/edit?usp=sharing"",""นครนายก!M351"")"),0)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IFERROR(__xludf.DUMMYFUNCTION("IMPORTRANGE(""https://docs.google.com/spreadsheets/d/1SX6NBoVAgQJ6U1MVXOaj8PK2l7WJ3RER9xtqwdhxkhw/edit?usp=sharing"",""นครนายก!L352"")"),0)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IFERROR(__xludf.DUMMYFUNCTION("IMPORTRANGE(""https://docs.google.com/spreadsheets/d/1SX6NBoVAgQJ6U1MVXOaj8PK2l7WJ3RER9xtqwdhxkhw/edit?usp=sharing"",""นครนายก!M352"")"),0)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IFERROR(__xludf.DUMMYFUNCTION("IMPORTRANGE(""https://docs.google.com/spreadsheets/d/1SX6NBoVAgQJ6U1MVXOaj8PK2l7WJ3RER9xtqwdhxkhw/edit?usp=sharing"",""นครนายก!L353"")"),0)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IFERROR(__xludf.DUMMYFUNCTION("IMPORTRANGE(""https://docs.google.com/spreadsheets/d/1SX6NBoVAgQJ6U1MVXOaj8PK2l7WJ3RER9xtqwdhxkhw/edit?usp=sharing"",""นครนายก!M353"")"),0)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IFERROR(__xludf.DUMMYFUNCTION("IMPORTRANGE(""https://docs.google.com/spreadsheets/d/1SX6NBoVAgQJ6U1MVXOaj8PK2l7WJ3RER9xtqwdhxkhw/edit?usp=sharing"",""นครนายก!L354"")"),0)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IFERROR(__xludf.DUMMYFUNCTION("IMPORTRANGE(""https://docs.google.com/spreadsheets/d/1SX6NBoVAgQJ6U1MVXOaj8PK2l7WJ3RER9xtqwdhxkhw/edit?usp=sharing"",""นครนายก!M354"")"),0)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IFERROR(__xludf.DUMMYFUNCTION("IMPORTRANGE(""https://docs.google.com/spreadsheets/d/1SX6NBoVAgQJ6U1MVXOaj8PK2l7WJ3RER9xtqwdhxkhw/edit?usp=sharing"",""นครนายก!M355"")"),0)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IFERROR(__xludf.DUMMYFUNCTION("IMPORTRANGE(""https://docs.google.com/spreadsheets/d/1SX6NBoVAgQJ6U1MVXOaj8PK2l7WJ3RER9xtqwdhxkhw/edit?usp=sharing"",""นครนายก!M356"")"),0)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IFERROR(__xludf.DUMMYFUNCTION("IMPORTRANGE(""https://docs.google.com/spreadsheets/d/1SX6NBoVAgQJ6U1MVXOaj8PK2l7WJ3RER9xtqwdhxkhw/edit?usp=sharing"",""นครนายก!M357"")"),0)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IFERROR(__xludf.DUMMYFUNCTION("IMPORTRANGE(""https://docs.google.com/spreadsheets/d/1SX6NBoVAgQJ6U1MVXOaj8PK2l7WJ3RER9xtqwdhxkhw/edit?usp=sharing"",""นครนายก!M358"")"),0)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IFERROR(__xludf.DUMMYFUNCTION("IMPORTRANGE(""https://docs.google.com/spreadsheets/d/1SX6NBoVAgQJ6U1MVXOaj8PK2l7WJ3RER9xtqwdhxkhw/edit?usp=sharing"",""นครนายก!I359"")"),0)</f>
        <v>0</v>
      </c>
      <c r="J464" s="268">
        <f ca="1">IFERROR(__xludf.DUMMYFUNCTION("IMPORTRANGE(""https://docs.google.com/spreadsheets/d/1SX6NBoVAgQJ6U1MVXOaj8PK2l7WJ3RER9xtqwdhxkhw/edit?usp=sharing"",""นครนายก!J359"")"),0)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IFERROR(__xludf.DUMMYFUNCTION("IMPORTRANGE(""https://docs.google.com/spreadsheets/d/1SX6NBoVAgQJ6U1MVXOaj8PK2l7WJ3RER9xtqwdhxkhw/edit?usp=sharing"",""นครนายก!I360"")"),0)</f>
        <v>0</v>
      </c>
      <c r="J465" s="420">
        <f ca="1">IFERROR(__xludf.DUMMYFUNCTION("IMPORTRANGE(""https://docs.google.com/spreadsheets/d/1SX6NBoVAgQJ6U1MVXOaj8PK2l7WJ3RER9xtqwdhxkhw/edit?usp=sharing"",""นครนายก!J360"")"),0)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IFERROR(__xludf.DUMMYFUNCTION("IMPORTRANGE(""https://docs.google.com/spreadsheets/d/1SX6NBoVAgQJ6U1MVXOaj8PK2l7WJ3RER9xtqwdhxkhw/edit?usp=sharing"",""นครนายก!I361"")"),0)</f>
        <v>0</v>
      </c>
      <c r="J466" s="420">
        <f ca="1">IFERROR(__xludf.DUMMYFUNCTION("IMPORTRANGE(""https://docs.google.com/spreadsheets/d/1SX6NBoVAgQJ6U1MVXOaj8PK2l7WJ3RER9xtqwdhxkhw/edit?usp=sharing"",""นครนายก!J361"")"),0)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IFERROR(__xludf.DUMMYFUNCTION("IMPORTRANGE(""https://docs.google.com/spreadsheets/d/1SX6NBoVAgQJ6U1MVXOaj8PK2l7WJ3RER9xtqwdhxkhw/edit?usp=sharing"",""นครนายก!I362"")"),0)</f>
        <v>0</v>
      </c>
      <c r="J467" s="189">
        <f ca="1">IFERROR(__xludf.DUMMYFUNCTION("IMPORTRANGE(""https://docs.google.com/spreadsheets/d/1SX6NBoVAgQJ6U1MVXOaj8PK2l7WJ3RER9xtqwdhxkhw/edit?usp=sharing"",""นครนายก!J362"")"),0)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IFERROR(__xludf.DUMMYFUNCTION("IMPORTRANGE(""https://docs.google.com/spreadsheets/d/1SX6NBoVAgQJ6U1MVXOaj8PK2l7WJ3RER9xtqwdhxkhw/edit?usp=sharing"",""นครนายก!I363"")"),0)</f>
        <v>0</v>
      </c>
      <c r="J468" s="189">
        <f ca="1">IFERROR(__xludf.DUMMYFUNCTION("IMPORTRANGE(""https://docs.google.com/spreadsheets/d/1SX6NBoVAgQJ6U1MVXOaj8PK2l7WJ3RER9xtqwdhxkhw/edit?usp=sharing"",""นครนายก!J363"")"),0)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IFERROR(__xludf.DUMMYFUNCTION("IMPORTRANGE(""https://docs.google.com/spreadsheets/d/1SX6NBoVAgQJ6U1MVXOaj8PK2l7WJ3RER9xtqwdhxkhw/edit?usp=sharing"",""นครนายก!I364"")"),0)</f>
        <v>0</v>
      </c>
      <c r="J469" s="189">
        <f ca="1">IFERROR(__xludf.DUMMYFUNCTION("IMPORTRANGE(""https://docs.google.com/spreadsheets/d/1SX6NBoVAgQJ6U1MVXOaj8PK2l7WJ3RER9xtqwdhxkhw/edit?usp=sharing"",""นครนายก!J364"")"),0)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IFERROR(__xludf.DUMMYFUNCTION("IMPORTRANGE(""https://docs.google.com/spreadsheets/d/1SX6NBoVAgQJ6U1MVXOaj8PK2l7WJ3RER9xtqwdhxkhw/edit?usp=sharing"",""นครนายก!I365"")"),0)</f>
        <v>0</v>
      </c>
      <c r="J470" s="189">
        <f ca="1">IFERROR(__xludf.DUMMYFUNCTION("IMPORTRANGE(""https://docs.google.com/spreadsheets/d/1SX6NBoVAgQJ6U1MVXOaj8PK2l7WJ3RER9xtqwdhxkhw/edit?usp=sharing"",""นครนายก!J365"")"),0)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IFERROR(__xludf.DUMMYFUNCTION("IMPORTRANGE(""https://docs.google.com/spreadsheets/d/1SX6NBoVAgQJ6U1MVXOaj8PK2l7WJ3RER9xtqwdhxkhw/edit?usp=sharing"",""นครนายก!I366"")"),0)</f>
        <v>0</v>
      </c>
      <c r="J471" s="189">
        <f ca="1">IFERROR(__xludf.DUMMYFUNCTION("IMPORTRANGE(""https://docs.google.com/spreadsheets/d/1SX6NBoVAgQJ6U1MVXOaj8PK2l7WJ3RER9xtqwdhxkhw/edit?usp=sharing"",""นครนายก!J366"")"),0)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IFERROR(__xludf.DUMMYFUNCTION("IMPORTRANGE(""https://docs.google.com/spreadsheets/d/1SX6NBoVAgQJ6U1MVXOaj8PK2l7WJ3RER9xtqwdhxkhw/edit?usp=sharing"",""นครนายก!I367"")"),0)</f>
        <v>0</v>
      </c>
      <c r="J472" s="189">
        <f ca="1">IFERROR(__xludf.DUMMYFUNCTION("IMPORTRANGE(""https://docs.google.com/spreadsheets/d/1SX6NBoVAgQJ6U1MVXOaj8PK2l7WJ3RER9xtqwdhxkhw/edit?usp=sharing"",""นครนายก!J367"")"),0)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IFERROR(__xludf.DUMMYFUNCTION("IMPORTRANGE(""https://docs.google.com/spreadsheets/d/1SX6NBoVAgQJ6U1MVXOaj8PK2l7WJ3RER9xtqwdhxkhw/edit?usp=sharing"",""นครนายก!I368"")"),0)</f>
        <v>0</v>
      </c>
      <c r="J473" s="420">
        <f ca="1">IFERROR(__xludf.DUMMYFUNCTION("IMPORTRANGE(""https://docs.google.com/spreadsheets/d/1SX6NBoVAgQJ6U1MVXOaj8PK2l7WJ3RER9xtqwdhxkhw/edit?usp=sharing"",""นครนายก!J368"")"),0)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IFERROR(__xludf.DUMMYFUNCTION("IMPORTRANGE(""https://docs.google.com/spreadsheets/d/1SX6NBoVAgQJ6U1MVXOaj8PK2l7WJ3RER9xtqwdhxkhw/edit?usp=sharing"",""นครนายก!I369"")"),0)</f>
        <v>0</v>
      </c>
      <c r="J474" s="420">
        <f ca="1">IFERROR(__xludf.DUMMYFUNCTION("IMPORTRANGE(""https://docs.google.com/spreadsheets/d/1SX6NBoVAgQJ6U1MVXOaj8PK2l7WJ3RER9xtqwdhxkhw/edit?usp=sharing"",""นครนายก!J369"")"),0)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IFERROR(__xludf.DUMMYFUNCTION("IMPORTRANGE(""https://docs.google.com/spreadsheets/d/1SX6NBoVAgQJ6U1MVXOaj8PK2l7WJ3RER9xtqwdhxkhw/edit?usp=sharing"",""นครนายก!I370"")"),0)</f>
        <v>0</v>
      </c>
      <c r="J475" s="189">
        <f ca="1">IFERROR(__xludf.DUMMYFUNCTION("IMPORTRANGE(""https://docs.google.com/spreadsheets/d/1SX6NBoVAgQJ6U1MVXOaj8PK2l7WJ3RER9xtqwdhxkhw/edit?usp=sharing"",""นครนายก!J370"")"),0)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IFERROR(__xludf.DUMMYFUNCTION("IMPORTRANGE(""https://docs.google.com/spreadsheets/d/1SX6NBoVAgQJ6U1MVXOaj8PK2l7WJ3RER9xtqwdhxkhw/edit?usp=sharing"",""นครนายก!I371"")"),0)</f>
        <v>0</v>
      </c>
      <c r="J476" s="189">
        <f ca="1">IFERROR(__xludf.DUMMYFUNCTION("IMPORTRANGE(""https://docs.google.com/spreadsheets/d/1SX6NBoVAgQJ6U1MVXOaj8PK2l7WJ3RER9xtqwdhxkhw/edit?usp=sharing"",""นครนายก!J371"")"),0)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IFERROR(__xludf.DUMMYFUNCTION("IMPORTRANGE(""https://docs.google.com/spreadsheets/d/1SX6NBoVAgQJ6U1MVXOaj8PK2l7WJ3RER9xtqwdhxkhw/edit?usp=sharing"",""นครนายก!I372"")"),0)</f>
        <v>0</v>
      </c>
      <c r="J477" s="189">
        <f ca="1">IFERROR(__xludf.DUMMYFUNCTION("IMPORTRANGE(""https://docs.google.com/spreadsheets/d/1SX6NBoVAgQJ6U1MVXOaj8PK2l7WJ3RER9xtqwdhxkhw/edit?usp=sharing"",""นครนายก!J372"")"),0)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IFERROR(__xludf.DUMMYFUNCTION("IMPORTRANGE(""https://docs.google.com/spreadsheets/d/1SX6NBoVAgQJ6U1MVXOaj8PK2l7WJ3RER9xtqwdhxkhw/edit?usp=sharing"",""นครนายก!I373"")"),0)</f>
        <v>0</v>
      </c>
      <c r="J478" s="189">
        <f ca="1">IFERROR(__xludf.DUMMYFUNCTION("IMPORTRANGE(""https://docs.google.com/spreadsheets/d/1SX6NBoVAgQJ6U1MVXOaj8PK2l7WJ3RER9xtqwdhxkhw/edit?usp=sharing"",""นครนายก!J373"")"),0)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IFERROR(__xludf.DUMMYFUNCTION("IMPORTRANGE(""https://docs.google.com/spreadsheets/d/1SX6NBoVAgQJ6U1MVXOaj8PK2l7WJ3RER9xtqwdhxkhw/edit?usp=sharing"",""นครนายก!I374"")"),0)</f>
        <v>0</v>
      </c>
      <c r="J479" s="189">
        <f ca="1">IFERROR(__xludf.DUMMYFUNCTION("IMPORTRANGE(""https://docs.google.com/spreadsheets/d/1SX6NBoVAgQJ6U1MVXOaj8PK2l7WJ3RER9xtqwdhxkhw/edit?usp=sharing"",""นครนายก!J374"")"),0)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IFERROR(__xludf.DUMMYFUNCTION("IMPORTRANGE(""https://docs.google.com/spreadsheets/d/1SX6NBoVAgQJ6U1MVXOaj8PK2l7WJ3RER9xtqwdhxkhw/edit?usp=sharing"",""นครนายก!I375"")"),0)</f>
        <v>0</v>
      </c>
      <c r="J480" s="189">
        <f ca="1">IFERROR(__xludf.DUMMYFUNCTION("IMPORTRANGE(""https://docs.google.com/spreadsheets/d/1SX6NBoVAgQJ6U1MVXOaj8PK2l7WJ3RER9xtqwdhxkhw/edit?usp=sharing"",""นครนายก!J375"")"),0)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IFERROR(__xludf.DUMMYFUNCTION("IMPORTRANGE(""https://docs.google.com/spreadsheets/d/1SX6NBoVAgQJ6U1MVXOaj8PK2l7WJ3RER9xtqwdhxkhw/edit?usp=sharing"",""นครนายก!I376"")"),0)</f>
        <v>0</v>
      </c>
      <c r="J481" s="420">
        <f ca="1">IFERROR(__xludf.DUMMYFUNCTION("IMPORTRANGE(""https://docs.google.com/spreadsheets/d/1SX6NBoVAgQJ6U1MVXOaj8PK2l7WJ3RER9xtqwdhxkhw/edit?usp=sharing"",""นครนายก!J376"")"),0)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IFERROR(__xludf.DUMMYFUNCTION("IMPORTRANGE(""https://docs.google.com/spreadsheets/d/1SX6NBoVAgQJ6U1MVXOaj8PK2l7WJ3RER9xtqwdhxkhw/edit?usp=sharing"",""นครนายก!I377"")"),0)</f>
        <v>0</v>
      </c>
      <c r="J482" s="420">
        <f ca="1">IFERROR(__xludf.DUMMYFUNCTION("IMPORTRANGE(""https://docs.google.com/spreadsheets/d/1SX6NBoVAgQJ6U1MVXOaj8PK2l7WJ3RER9xtqwdhxkhw/edit?usp=sharing"",""นครนายก!J377"")"),0)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IFERROR(__xludf.DUMMYFUNCTION("IMPORTRANGE(""https://docs.google.com/spreadsheets/d/1SX6NBoVAgQJ6U1MVXOaj8PK2l7WJ3RER9xtqwdhxkhw/edit?usp=sharing"",""นครนายก!I378"")"),0)</f>
        <v>0</v>
      </c>
      <c r="J483" s="189">
        <f ca="1">IFERROR(__xludf.DUMMYFUNCTION("IMPORTRANGE(""https://docs.google.com/spreadsheets/d/1SX6NBoVAgQJ6U1MVXOaj8PK2l7WJ3RER9xtqwdhxkhw/edit?usp=sharing"",""นครนายก!J378"")"),0)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IFERROR(__xludf.DUMMYFUNCTION("IMPORTRANGE(""https://docs.google.com/spreadsheets/d/1SX6NBoVAgQJ6U1MVXOaj8PK2l7WJ3RER9xtqwdhxkhw/edit?usp=sharing"",""นครนายก!I379"")"),0)</f>
        <v>0</v>
      </c>
      <c r="J484" s="189">
        <f ca="1">IFERROR(__xludf.DUMMYFUNCTION("IMPORTRANGE(""https://docs.google.com/spreadsheets/d/1SX6NBoVAgQJ6U1MVXOaj8PK2l7WJ3RER9xtqwdhxkhw/edit?usp=sharing"",""นครนายก!J379"")"),0)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IFERROR(__xludf.DUMMYFUNCTION("IMPORTRANGE(""https://docs.google.com/spreadsheets/d/1SX6NBoVAgQJ6U1MVXOaj8PK2l7WJ3RER9xtqwdhxkhw/edit?usp=sharing"",""นครนายก!I380"")"),0)</f>
        <v>0</v>
      </c>
      <c r="J485" s="189">
        <f ca="1">IFERROR(__xludf.DUMMYFUNCTION("IMPORTRANGE(""https://docs.google.com/spreadsheets/d/1SX6NBoVAgQJ6U1MVXOaj8PK2l7WJ3RER9xtqwdhxkhw/edit?usp=sharing"",""นครนายก!J380"")"),0)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IFERROR(__xludf.DUMMYFUNCTION("IMPORTRANGE(""https://docs.google.com/spreadsheets/d/1SX6NBoVAgQJ6U1MVXOaj8PK2l7WJ3RER9xtqwdhxkhw/edit?usp=sharing"",""นครนายก!I381"")"),0)</f>
        <v>0</v>
      </c>
      <c r="J486" s="189">
        <f ca="1">IFERROR(__xludf.DUMMYFUNCTION("IMPORTRANGE(""https://docs.google.com/spreadsheets/d/1SX6NBoVAgQJ6U1MVXOaj8PK2l7WJ3RER9xtqwdhxkhw/edit?usp=sharing"",""นครนายก!J381"")"),0)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IFERROR(__xludf.DUMMYFUNCTION("IMPORTRANGE(""https://docs.google.com/spreadsheets/d/1SX6NBoVAgQJ6U1MVXOaj8PK2l7WJ3RER9xtqwdhxkhw/edit?usp=sharing"",""นครนายก!I382"")"),0)</f>
        <v>0</v>
      </c>
      <c r="J487" s="420">
        <f ca="1">IFERROR(__xludf.DUMMYFUNCTION("IMPORTRANGE(""https://docs.google.com/spreadsheets/d/1SX6NBoVAgQJ6U1MVXOaj8PK2l7WJ3RER9xtqwdhxkhw/edit?usp=sharing"",""นครนายก!J382"")"),0)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IFERROR(__xludf.DUMMYFUNCTION("IMPORTRANGE(""https://docs.google.com/spreadsheets/d/1SX6NBoVAgQJ6U1MVXOaj8PK2l7WJ3RER9xtqwdhxkhw/edit?usp=sharing"",""นครนายก!I383"")"),0)</f>
        <v>0</v>
      </c>
      <c r="J488" s="420">
        <f ca="1">IFERROR(__xludf.DUMMYFUNCTION("IMPORTRANGE(""https://docs.google.com/spreadsheets/d/1SX6NBoVAgQJ6U1MVXOaj8PK2l7WJ3RER9xtqwdhxkhw/edit?usp=sharing"",""นครนายก!J383"")"),0)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IFERROR(__xludf.DUMMYFUNCTION("IMPORTRANGE(""https://docs.google.com/spreadsheets/d/1SX6NBoVAgQJ6U1MVXOaj8PK2l7WJ3RER9xtqwdhxkhw/edit?usp=sharing"",""นครนายก!I384"")"),0)</f>
        <v>0</v>
      </c>
      <c r="J489" s="189">
        <f ca="1">IFERROR(__xludf.DUMMYFUNCTION("IMPORTRANGE(""https://docs.google.com/spreadsheets/d/1SX6NBoVAgQJ6U1MVXOaj8PK2l7WJ3RER9xtqwdhxkhw/edit?usp=sharing"",""นครนายก!J384"")"),0)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IFERROR(__xludf.DUMMYFUNCTION("IMPORTRANGE(""https://docs.google.com/spreadsheets/d/1SX6NBoVAgQJ6U1MVXOaj8PK2l7WJ3RER9xtqwdhxkhw/edit?usp=sharing"",""นครนายก!I385"")"),0)</f>
        <v>0</v>
      </c>
      <c r="J490" s="189">
        <f ca="1">IFERROR(__xludf.DUMMYFUNCTION("IMPORTRANGE(""https://docs.google.com/spreadsheets/d/1SX6NBoVAgQJ6U1MVXOaj8PK2l7WJ3RER9xtqwdhxkhw/edit?usp=sharing"",""นครนายก!J385"")"),0)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IFERROR(__xludf.DUMMYFUNCTION("IMPORTRANGE(""https://docs.google.com/spreadsheets/d/1SX6NBoVAgQJ6U1MVXOaj8PK2l7WJ3RER9xtqwdhxkhw/edit?usp=sharing"",""นครนายก!I386"")"),0)</f>
        <v>0</v>
      </c>
      <c r="J491" s="189">
        <f ca="1">IFERROR(__xludf.DUMMYFUNCTION("IMPORTRANGE(""https://docs.google.com/spreadsheets/d/1SX6NBoVAgQJ6U1MVXOaj8PK2l7WJ3RER9xtqwdhxkhw/edit?usp=sharing"",""นครนายก!J386"")"),0)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IFERROR(__xludf.DUMMYFUNCTION("IMPORTRANGE(""https://docs.google.com/spreadsheets/d/1SX6NBoVAgQJ6U1MVXOaj8PK2l7WJ3RER9xtqwdhxkhw/edit?usp=sharing"",""นครนายก!I387"")"),0)</f>
        <v>0</v>
      </c>
      <c r="J492" s="189">
        <f ca="1">IFERROR(__xludf.DUMMYFUNCTION("IMPORTRANGE(""https://docs.google.com/spreadsheets/d/1SX6NBoVAgQJ6U1MVXOaj8PK2l7WJ3RER9xtqwdhxkhw/edit?usp=sharing"",""นครนายก!J387"")"),0)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IFERROR(__xludf.DUMMYFUNCTION("IMPORTRANGE(""https://docs.google.com/spreadsheets/d/1SX6NBoVAgQJ6U1MVXOaj8PK2l7WJ3RER9xtqwdhxkhw/edit?usp=sharing"",""นครนายก!I388"")"),0)</f>
        <v>0</v>
      </c>
      <c r="J493" s="189">
        <f ca="1">IFERROR(__xludf.DUMMYFUNCTION("IMPORTRANGE(""https://docs.google.com/spreadsheets/d/1SX6NBoVAgQJ6U1MVXOaj8PK2l7WJ3RER9xtqwdhxkhw/edit?usp=sharing"",""นครนายก!J388"")"),0)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IFERROR(__xludf.DUMMYFUNCTION("IMPORTRANGE(""https://docs.google.com/spreadsheets/d/1SX6NBoVAgQJ6U1MVXOaj8PK2l7WJ3RER9xtqwdhxkhw/edit?usp=sharing"",""นครนายก!I389"")"),0)</f>
        <v>0</v>
      </c>
      <c r="J494" s="436">
        <f ca="1">IFERROR(__xludf.DUMMYFUNCTION("IMPORTRANGE(""https://docs.google.com/spreadsheets/d/1SX6NBoVAgQJ6U1MVXOaj8PK2l7WJ3RER9xtqwdhxkhw/edit?usp=sharing"",""นครนายก!J389"")"),0)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IFERROR(__xludf.DUMMYFUNCTION("IMPORTRANGE(""https://docs.google.com/spreadsheets/d/1SX6NBoVAgQJ6U1MVXOaj8PK2l7WJ3RER9xtqwdhxkhw/edit?usp=sharing"",""นครนายก!I390"")"),0)</f>
        <v>0</v>
      </c>
      <c r="J495" s="436">
        <f ca="1">IFERROR(__xludf.DUMMYFUNCTION("IMPORTRANGE(""https://docs.google.com/spreadsheets/d/1SX6NBoVAgQJ6U1MVXOaj8PK2l7WJ3RER9xtqwdhxkhw/edit?usp=sharing"",""นครนายก!J390"")"),0)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IFERROR(__xludf.DUMMYFUNCTION("IMPORTRANGE(""https://docs.google.com/spreadsheets/d/1SX6NBoVAgQJ6U1MVXOaj8PK2l7WJ3RER9xtqwdhxkhw/edit?usp=sharing"",""นครนายก!I391"")"),0)</f>
        <v>0</v>
      </c>
      <c r="J496" s="436">
        <f ca="1">IFERROR(__xludf.DUMMYFUNCTION("IMPORTRANGE(""https://docs.google.com/spreadsheets/d/1SX6NBoVAgQJ6U1MVXOaj8PK2l7WJ3RER9xtqwdhxkhw/edit?usp=sharing"",""นครนายก!J391"")"),0)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IFERROR(__xludf.DUMMYFUNCTION("IMPORTRANGE(""https://docs.google.com/spreadsheets/d/1SX6NBoVAgQJ6U1MVXOaj8PK2l7WJ3RER9xtqwdhxkhw/edit?usp=sharing"",""นครนายก!I392"")"),0)</f>
        <v>0</v>
      </c>
      <c r="J497" s="443">
        <f ca="1">IFERROR(__xludf.DUMMYFUNCTION("IMPORTRANGE(""https://docs.google.com/spreadsheets/d/1SX6NBoVAgQJ6U1MVXOaj8PK2l7WJ3RER9xtqwdhxkhw/edit?usp=sharing"",""นครนายก!J392"")"),0)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IFERROR(__xludf.DUMMYFUNCTION("IMPORTRANGE(""https://docs.google.com/spreadsheets/d/1SX6NBoVAgQJ6U1MVXOaj8PK2l7WJ3RER9xtqwdhxkhw/edit?usp=sharing"",""นครนายก!I393"")"),0)</f>
        <v>0</v>
      </c>
      <c r="J498" s="420">
        <f ca="1">IFERROR(__xludf.DUMMYFUNCTION("IMPORTRANGE(""https://docs.google.com/spreadsheets/d/1SX6NBoVAgQJ6U1MVXOaj8PK2l7WJ3RER9xtqwdhxkhw/edit?usp=sharing"",""นครนายก!J393"")"),0)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IFERROR(__xludf.DUMMYFUNCTION("IMPORTRANGE(""https://docs.google.com/spreadsheets/d/1SX6NBoVAgQJ6U1MVXOaj8PK2l7WJ3RER9xtqwdhxkhw/edit?usp=sharing"",""นครนายก!I394"")"),0)</f>
        <v>0</v>
      </c>
      <c r="J499" s="420">
        <f ca="1">IFERROR(__xludf.DUMMYFUNCTION("IMPORTRANGE(""https://docs.google.com/spreadsheets/d/1SX6NBoVAgQJ6U1MVXOaj8PK2l7WJ3RER9xtqwdhxkhw/edit?usp=sharing"",""นครนายก!J394"")"),0)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IFERROR(__xludf.DUMMYFUNCTION("IMPORTRANGE(""https://docs.google.com/spreadsheets/d/1SX6NBoVAgQJ6U1MVXOaj8PK2l7WJ3RER9xtqwdhxkhw/edit?usp=sharing"",""นครนายก!I395"")"),0)</f>
        <v>0</v>
      </c>
      <c r="J500" s="162">
        <f ca="1">IFERROR(__xludf.DUMMYFUNCTION("IMPORTRANGE(""https://docs.google.com/spreadsheets/d/1SX6NBoVAgQJ6U1MVXOaj8PK2l7WJ3RER9xtqwdhxkhw/edit?usp=sharing"",""นครนายก!J395"")"),0)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IFERROR(__xludf.DUMMYFUNCTION("IMPORTRANGE(""https://docs.google.com/spreadsheets/d/1SX6NBoVAgQJ6U1MVXOaj8PK2l7WJ3RER9xtqwdhxkhw/edit?usp=sharing"",""นครนายก!I396"")"),0)</f>
        <v>0</v>
      </c>
      <c r="J501" s="162">
        <f ca="1">IFERROR(__xludf.DUMMYFUNCTION("IMPORTRANGE(""https://docs.google.com/spreadsheets/d/1SX6NBoVAgQJ6U1MVXOaj8PK2l7WJ3RER9xtqwdhxkhw/edit?usp=sharing"",""นครนายก!J396"")"),0)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IFERROR(__xludf.DUMMYFUNCTION("IMPORTRANGE(""https://docs.google.com/spreadsheets/d/1SX6NBoVAgQJ6U1MVXOaj8PK2l7WJ3RER9xtqwdhxkhw/edit?usp=sharing"",""นครนายก!I397"")"),0)</f>
        <v>0</v>
      </c>
      <c r="J502" s="189">
        <f ca="1">IFERROR(__xludf.DUMMYFUNCTION("IMPORTRANGE(""https://docs.google.com/spreadsheets/d/1SX6NBoVAgQJ6U1MVXOaj8PK2l7WJ3RER9xtqwdhxkhw/edit?usp=sharing"",""นครนายก!J397"")"),0)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IFERROR(__xludf.DUMMYFUNCTION("IMPORTRANGE(""https://docs.google.com/spreadsheets/d/1SX6NBoVAgQJ6U1MVXOaj8PK2l7WJ3RER9xtqwdhxkhw/edit?usp=sharing"",""นครนายก!I398"")"),0)</f>
        <v>0</v>
      </c>
      <c r="J503" s="198">
        <f ca="1">IFERROR(__xludf.DUMMYFUNCTION("IMPORTRANGE(""https://docs.google.com/spreadsheets/d/1SX6NBoVAgQJ6U1MVXOaj8PK2l7WJ3RER9xtqwdhxkhw/edit?usp=sharing"",""นครนายก!J398"")"),0)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IFERROR(__xludf.DUMMYFUNCTION("IMPORTRANGE(""https://docs.google.com/spreadsheets/d/1SX6NBoVAgQJ6U1MVXOaj8PK2l7WJ3RER9xtqwdhxkhw/edit?usp=sharing"",""นครนายก!I399"")"),0)</f>
        <v>0</v>
      </c>
      <c r="J504" s="189">
        <f ca="1">IFERROR(__xludf.DUMMYFUNCTION("IMPORTRANGE(""https://docs.google.com/spreadsheets/d/1SX6NBoVAgQJ6U1MVXOaj8PK2l7WJ3RER9xtqwdhxkhw/edit?usp=sharing"",""นครนายก!J399"")"),0)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IFERROR(__xludf.DUMMYFUNCTION("IMPORTRANGE(""https://docs.google.com/spreadsheets/d/1SX6NBoVAgQJ6U1MVXOaj8PK2l7WJ3RER9xtqwdhxkhw/edit?usp=sharing"",""นครนายก!I400"")"),0)</f>
        <v>0</v>
      </c>
      <c r="J505" s="198">
        <f ca="1">IFERROR(__xludf.DUMMYFUNCTION("IMPORTRANGE(""https://docs.google.com/spreadsheets/d/1SX6NBoVAgQJ6U1MVXOaj8PK2l7WJ3RER9xtqwdhxkhw/edit?usp=sharing"",""นครนายก!J400"")"),0)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IFERROR(__xludf.DUMMYFUNCTION("IMPORTRANGE(""https://docs.google.com/spreadsheets/d/1SX6NBoVAgQJ6U1MVXOaj8PK2l7WJ3RER9xtqwdhxkhw/edit?usp=sharing"",""นครนายก!I401"")"),0)</f>
        <v>0</v>
      </c>
      <c r="J506" s="189">
        <f ca="1">IFERROR(__xludf.DUMMYFUNCTION("IMPORTRANGE(""https://docs.google.com/spreadsheets/d/1SX6NBoVAgQJ6U1MVXOaj8PK2l7WJ3RER9xtqwdhxkhw/edit?usp=sharing"",""นครนายก!J401"")"),0)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IFERROR(__xludf.DUMMYFUNCTION("IMPORTRANGE(""https://docs.google.com/spreadsheets/d/1SX6NBoVAgQJ6U1MVXOaj8PK2l7WJ3RER9xtqwdhxkhw/edit?usp=sharing"",""นครนายก!I402"")"),0)</f>
        <v>0</v>
      </c>
      <c r="J507" s="198">
        <f ca="1">IFERROR(__xludf.DUMMYFUNCTION("IMPORTRANGE(""https://docs.google.com/spreadsheets/d/1SX6NBoVAgQJ6U1MVXOaj8PK2l7WJ3RER9xtqwdhxkhw/edit?usp=sharing"",""นครนายก!J402"")"),0)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IFERROR(__xludf.DUMMYFUNCTION("IMPORTRANGE(""https://docs.google.com/spreadsheets/d/1SX6NBoVAgQJ6U1MVXOaj8PK2l7WJ3RER9xtqwdhxkhw/edit?usp=sharing"",""นครนายก!I403"")"),0)</f>
        <v>0</v>
      </c>
      <c r="J508" s="162">
        <f ca="1">IFERROR(__xludf.DUMMYFUNCTION("IMPORTRANGE(""https://docs.google.com/spreadsheets/d/1SX6NBoVAgQJ6U1MVXOaj8PK2l7WJ3RER9xtqwdhxkhw/edit?usp=sharing"",""นครนายก!J403"")"),0)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IFERROR(__xludf.DUMMYFUNCTION("IMPORTRANGE(""https://docs.google.com/spreadsheets/d/1SX6NBoVAgQJ6U1MVXOaj8PK2l7WJ3RER9xtqwdhxkhw/edit?usp=sharing"",""นครนายก!I404"")"),0)</f>
        <v>0</v>
      </c>
      <c r="J509" s="162">
        <f ca="1">IFERROR(__xludf.DUMMYFUNCTION("IMPORTRANGE(""https://docs.google.com/spreadsheets/d/1SX6NBoVAgQJ6U1MVXOaj8PK2l7WJ3RER9xtqwdhxkhw/edit?usp=sharing"",""นครนายก!J404"")"),0)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IFERROR(__xludf.DUMMYFUNCTION("IMPORTRANGE(""https://docs.google.com/spreadsheets/d/1SX6NBoVAgQJ6U1MVXOaj8PK2l7WJ3RER9xtqwdhxkhw/edit?usp=sharing"",""นครนายก!I405"")"),0)</f>
        <v>0</v>
      </c>
      <c r="J510" s="198">
        <f ca="1">IFERROR(__xludf.DUMMYFUNCTION("IMPORTRANGE(""https://docs.google.com/spreadsheets/d/1SX6NBoVAgQJ6U1MVXOaj8PK2l7WJ3RER9xtqwdhxkhw/edit?usp=sharing"",""นครนายก!J405"")"),0)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IFERROR(__xludf.DUMMYFUNCTION("IMPORTRANGE(""https://docs.google.com/spreadsheets/d/1SX6NBoVAgQJ6U1MVXOaj8PK2l7WJ3RER9xtqwdhxkhw/edit?usp=sharing"",""นครนายก!I406"")"),0)</f>
        <v>0</v>
      </c>
      <c r="J511" s="198">
        <f ca="1">IFERROR(__xludf.DUMMYFUNCTION("IMPORTRANGE(""https://docs.google.com/spreadsheets/d/1SX6NBoVAgQJ6U1MVXOaj8PK2l7WJ3RER9xtqwdhxkhw/edit?usp=sharing"",""นครนายก!J406"")"),0)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IFERROR(__xludf.DUMMYFUNCTION("IMPORTRANGE(""https://docs.google.com/spreadsheets/d/1SX6NBoVAgQJ6U1MVXOaj8PK2l7WJ3RER9xtqwdhxkhw/edit?usp=sharing"",""นครนายก!I407"")"),0)</f>
        <v>0</v>
      </c>
      <c r="J512" s="198">
        <f ca="1">IFERROR(__xludf.DUMMYFUNCTION("IMPORTRANGE(""https://docs.google.com/spreadsheets/d/1SX6NBoVAgQJ6U1MVXOaj8PK2l7WJ3RER9xtqwdhxkhw/edit?usp=sharing"",""นครนายก!J407"")"),0)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IFERROR(__xludf.DUMMYFUNCTION("IMPORTRANGE(""https://docs.google.com/spreadsheets/d/1SX6NBoVAgQJ6U1MVXOaj8PK2l7WJ3RER9xtqwdhxkhw/edit?usp=sharing"",""นครนายก!I408"")"),0)</f>
        <v>0</v>
      </c>
      <c r="J513" s="198">
        <f ca="1">IFERROR(__xludf.DUMMYFUNCTION("IMPORTRANGE(""https://docs.google.com/spreadsheets/d/1SX6NBoVAgQJ6U1MVXOaj8PK2l7WJ3RER9xtqwdhxkhw/edit?usp=sharing"",""นครนายก!J408"")"),0)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IFERROR(__xludf.DUMMYFUNCTION("IMPORTRANGE(""https://docs.google.com/spreadsheets/d/1SX6NBoVAgQJ6U1MVXOaj8PK2l7WJ3RER9xtqwdhxkhw/edit?usp=sharing"",""นครนายก!I409"")"),0)</f>
        <v>0</v>
      </c>
      <c r="J514" s="198">
        <f ca="1">IFERROR(__xludf.DUMMYFUNCTION("IMPORTRANGE(""https://docs.google.com/spreadsheets/d/1SX6NBoVAgQJ6U1MVXOaj8PK2l7WJ3RER9xtqwdhxkhw/edit?usp=sharing"",""นครนายก!J409"")"),0)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IFERROR(__xludf.DUMMYFUNCTION("IMPORTRANGE(""https://docs.google.com/spreadsheets/d/1SX6NBoVAgQJ6U1MVXOaj8PK2l7WJ3RER9xtqwdhxkhw/edit?usp=sharing"",""นครนายก!I410"")"),0)</f>
        <v>0</v>
      </c>
      <c r="J515" s="198">
        <f ca="1">IFERROR(__xludf.DUMMYFUNCTION("IMPORTRANGE(""https://docs.google.com/spreadsheets/d/1SX6NBoVAgQJ6U1MVXOaj8PK2l7WJ3RER9xtqwdhxkhw/edit?usp=sharing"",""นครนายก!J410"")"),0)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IFERROR(__xludf.DUMMYFUNCTION("IMPORTRANGE(""https://docs.google.com/spreadsheets/d/1SX6NBoVAgQJ6U1MVXOaj8PK2l7WJ3RER9xtqwdhxkhw/edit?usp=sharing"",""นครนายก!I411"")"),0)</f>
        <v>0</v>
      </c>
      <c r="J516" s="268">
        <f ca="1">IFERROR(__xludf.DUMMYFUNCTION("IMPORTRANGE(""https://docs.google.com/spreadsheets/d/1SX6NBoVAgQJ6U1MVXOaj8PK2l7WJ3RER9xtqwdhxkhw/edit?usp=sharing"",""นครนายก!J411"")"),0)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IFERROR(__xludf.DUMMYFUNCTION("IMPORTRANGE(""https://docs.google.com/spreadsheets/d/1SX6NBoVAgQJ6U1MVXOaj8PK2l7WJ3RER9xtqwdhxkhw/edit?usp=sharing"",""นครนายก!I412"")"),0)</f>
        <v>0</v>
      </c>
      <c r="J517" s="285">
        <f ca="1">IFERROR(__xludf.DUMMYFUNCTION("IMPORTRANGE(""https://docs.google.com/spreadsheets/d/1SX6NBoVAgQJ6U1MVXOaj8PK2l7WJ3RER9xtqwdhxkhw/edit?usp=sharing"",""นครนายก!J412"")"),0)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IFERROR(__xludf.DUMMYFUNCTION("IMPORTRANGE(""https://docs.google.com/spreadsheets/d/1SX6NBoVAgQJ6U1MVXOaj8PK2l7WJ3RER9xtqwdhxkhw/edit?usp=sharing"",""นครนายก!I413"")"),0)</f>
        <v>0</v>
      </c>
      <c r="J518" s="285">
        <f ca="1">IFERROR(__xludf.DUMMYFUNCTION("IMPORTRANGE(""https://docs.google.com/spreadsheets/d/1SX6NBoVAgQJ6U1MVXOaj8PK2l7WJ3RER9xtqwdhxkhw/edit?usp=sharing"",""นครนายก!J413"")"),0)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IFERROR(__xludf.DUMMYFUNCTION("IMPORTRANGE(""https://docs.google.com/spreadsheets/d/1SX6NBoVAgQJ6U1MVXOaj8PK2l7WJ3RER9xtqwdhxkhw/edit?usp=sharing"",""นครนายก!I414"")"),0)</f>
        <v>0</v>
      </c>
      <c r="J519" s="188">
        <f ca="1">IFERROR(__xludf.DUMMYFUNCTION("IMPORTRANGE(""https://docs.google.com/spreadsheets/d/1SX6NBoVAgQJ6U1MVXOaj8PK2l7WJ3RER9xtqwdhxkhw/edit?usp=sharing"",""นครนายก!J414"")"),0)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IFERROR(__xludf.DUMMYFUNCTION("IMPORTRANGE(""https://docs.google.com/spreadsheets/d/1SX6NBoVAgQJ6U1MVXOaj8PK2l7WJ3RER9xtqwdhxkhw/edit?usp=sharing"",""นครนายก!I415"")"),0)</f>
        <v>0</v>
      </c>
      <c r="J520" s="188">
        <f ca="1">IFERROR(__xludf.DUMMYFUNCTION("IMPORTRANGE(""https://docs.google.com/spreadsheets/d/1SX6NBoVAgQJ6U1MVXOaj8PK2l7WJ3RER9xtqwdhxkhw/edit?usp=sharing"",""นครนายก!J415"")"),0)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IFERROR(__xludf.DUMMYFUNCTION("IMPORTRANGE(""https://docs.google.com/spreadsheets/d/1SX6NBoVAgQJ6U1MVXOaj8PK2l7WJ3RER9xtqwdhxkhw/edit?usp=sharing"",""นครนายก!I416"")"),0)</f>
        <v>0</v>
      </c>
      <c r="J521" s="188">
        <f ca="1">IFERROR(__xludf.DUMMYFUNCTION("IMPORTRANGE(""https://docs.google.com/spreadsheets/d/1SX6NBoVAgQJ6U1MVXOaj8PK2l7WJ3RER9xtqwdhxkhw/edit?usp=sharing"",""นครนายก!J416"")"),0)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IFERROR(__xludf.DUMMYFUNCTION("IMPORTRANGE(""https://docs.google.com/spreadsheets/d/1SX6NBoVAgQJ6U1MVXOaj8PK2l7WJ3RER9xtqwdhxkhw/edit?usp=sharing"",""นครนายก!I417"")"),0)</f>
        <v>0</v>
      </c>
      <c r="J522" s="188">
        <f ca="1">IFERROR(__xludf.DUMMYFUNCTION("IMPORTRANGE(""https://docs.google.com/spreadsheets/d/1SX6NBoVAgQJ6U1MVXOaj8PK2l7WJ3RER9xtqwdhxkhw/edit?usp=sharing"",""นครนายก!J417"")"),0)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IFERROR(__xludf.DUMMYFUNCTION("IMPORTRANGE(""https://docs.google.com/spreadsheets/d/1SX6NBoVAgQJ6U1MVXOaj8PK2l7WJ3RER9xtqwdhxkhw/edit?usp=sharing"",""นครนายก!I418"")"),0)</f>
        <v>0</v>
      </c>
      <c r="J523" s="188">
        <f ca="1">IFERROR(__xludf.DUMMYFUNCTION("IMPORTRANGE(""https://docs.google.com/spreadsheets/d/1SX6NBoVAgQJ6U1MVXOaj8PK2l7WJ3RER9xtqwdhxkhw/edit?usp=sharing"",""นครนายก!J418"")"),0)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IFERROR(__xludf.DUMMYFUNCTION("IMPORTRANGE(""https://docs.google.com/spreadsheets/d/1SX6NBoVAgQJ6U1MVXOaj8PK2l7WJ3RER9xtqwdhxkhw/edit?usp=sharing"",""นครนายก!I419"")"),0)</f>
        <v>0</v>
      </c>
      <c r="J524" s="188">
        <f ca="1">IFERROR(__xludf.DUMMYFUNCTION("IMPORTRANGE(""https://docs.google.com/spreadsheets/d/1SX6NBoVAgQJ6U1MVXOaj8PK2l7WJ3RER9xtqwdhxkhw/edit?usp=sharing"",""นครนายก!J419"")"),0)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IFERROR(__xludf.DUMMYFUNCTION("IMPORTRANGE(""https://docs.google.com/spreadsheets/d/1SX6NBoVAgQJ6U1MVXOaj8PK2l7WJ3RER9xtqwdhxkhw/edit?usp=sharing"",""นครนายก!I420"")"),0)</f>
        <v>0</v>
      </c>
      <c r="J525" s="285">
        <f ca="1">IFERROR(__xludf.DUMMYFUNCTION("IMPORTRANGE(""https://docs.google.com/spreadsheets/d/1SX6NBoVAgQJ6U1MVXOaj8PK2l7WJ3RER9xtqwdhxkhw/edit?usp=sharing"",""นครนายก!J420"")"),0)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IFERROR(__xludf.DUMMYFUNCTION("IMPORTRANGE(""https://docs.google.com/spreadsheets/d/1SX6NBoVAgQJ6U1MVXOaj8PK2l7WJ3RER9xtqwdhxkhw/edit?usp=sharing"",""นครนายก!I421"")"),0)</f>
        <v>0</v>
      </c>
      <c r="J526" s="285">
        <f ca="1">IFERROR(__xludf.DUMMYFUNCTION("IMPORTRANGE(""https://docs.google.com/spreadsheets/d/1SX6NBoVAgQJ6U1MVXOaj8PK2l7WJ3RER9xtqwdhxkhw/edit?usp=sharing"",""นครนายก!J421"")"),0)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IFERROR(__xludf.DUMMYFUNCTION("IMPORTRANGE(""https://docs.google.com/spreadsheets/d/1SX6NBoVAgQJ6U1MVXOaj8PK2l7WJ3RER9xtqwdhxkhw/edit?usp=sharing"",""นครนายก!I422"")"),0)</f>
        <v>0</v>
      </c>
      <c r="J527" s="198">
        <f ca="1">IFERROR(__xludf.DUMMYFUNCTION("IMPORTRANGE(""https://docs.google.com/spreadsheets/d/1SX6NBoVAgQJ6U1MVXOaj8PK2l7WJ3RER9xtqwdhxkhw/edit?usp=sharing"",""นครนายก!J422"")"),0)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IFERROR(__xludf.DUMMYFUNCTION("IMPORTRANGE(""https://docs.google.com/spreadsheets/d/1SX6NBoVAgQJ6U1MVXOaj8PK2l7WJ3RER9xtqwdhxkhw/edit?usp=sharing"",""นครนายก!I423"")"),0)</f>
        <v>0</v>
      </c>
      <c r="J528" s="198">
        <f ca="1">IFERROR(__xludf.DUMMYFUNCTION("IMPORTRANGE(""https://docs.google.com/spreadsheets/d/1SX6NBoVAgQJ6U1MVXOaj8PK2l7WJ3RER9xtqwdhxkhw/edit?usp=sharing"",""นครนายก!J423"")"),0)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IFERROR(__xludf.DUMMYFUNCTION("IMPORTRANGE(""https://docs.google.com/spreadsheets/d/1SX6NBoVAgQJ6U1MVXOaj8PK2l7WJ3RER9xtqwdhxkhw/edit?usp=sharing"",""นครนายก!I424"")"),0)</f>
        <v>0</v>
      </c>
      <c r="J529" s="198">
        <f ca="1">IFERROR(__xludf.DUMMYFUNCTION("IMPORTRANGE(""https://docs.google.com/spreadsheets/d/1SX6NBoVAgQJ6U1MVXOaj8PK2l7WJ3RER9xtqwdhxkhw/edit?usp=sharing"",""นครนายก!J424"")"),0)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IFERROR(__xludf.DUMMYFUNCTION("IMPORTRANGE(""https://docs.google.com/spreadsheets/d/1SX6NBoVAgQJ6U1MVXOaj8PK2l7WJ3RER9xtqwdhxkhw/edit?usp=sharing"",""นครนายก!I425"")"),0)</f>
        <v>0</v>
      </c>
      <c r="J530" s="198">
        <f ca="1">IFERROR(__xludf.DUMMYFUNCTION("IMPORTRANGE(""https://docs.google.com/spreadsheets/d/1SX6NBoVAgQJ6U1MVXOaj8PK2l7WJ3RER9xtqwdhxkhw/edit?usp=sharing"",""นครนายก!J425"")"),0)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IFERROR(__xludf.DUMMYFUNCTION("IMPORTRANGE(""https://docs.google.com/spreadsheets/d/1SX6NBoVAgQJ6U1MVXOaj8PK2l7WJ3RER9xtqwdhxkhw/edit?usp=sharing"",""นครนายก!I426"")"),0)</f>
        <v>0</v>
      </c>
      <c r="J531" s="198">
        <f ca="1">IFERROR(__xludf.DUMMYFUNCTION("IMPORTRANGE(""https://docs.google.com/spreadsheets/d/1SX6NBoVAgQJ6U1MVXOaj8PK2l7WJ3RER9xtqwdhxkhw/edit?usp=sharing"",""นครนายก!J426"")"),0)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IFERROR(__xludf.DUMMYFUNCTION("IMPORTRANGE(""https://docs.google.com/spreadsheets/d/1SX6NBoVAgQJ6U1MVXOaj8PK2l7WJ3RER9xtqwdhxkhw/edit?usp=sharing"",""นครนายก!I427"")"),0)</f>
        <v>0</v>
      </c>
      <c r="J532" s="466">
        <f ca="1">IFERROR(__xludf.DUMMYFUNCTION("IMPORTRANGE(""https://docs.google.com/spreadsheets/d/1SX6NBoVAgQJ6U1MVXOaj8PK2l7WJ3RER9xtqwdhxkhw/edit?usp=sharing"",""นครนายก!J427"")"),0)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IFERROR(__xludf.DUMMYFUNCTION("IMPORTRANGE(""https://docs.google.com/spreadsheets/d/1SX6NBoVAgQJ6U1MVXOaj8PK2l7WJ3RER9xtqwdhxkhw/edit?usp=sharing"",""นครนายก!I428"")"),22)</f>
        <v>22</v>
      </c>
      <c r="J533" s="410">
        <f ca="1">IFERROR(__xludf.DUMMYFUNCTION("IMPORTRANGE(""https://docs.google.com/spreadsheets/d/1SX6NBoVAgQJ6U1MVXOaj8PK2l7WJ3RER9xtqwdhxkhw/edit?usp=sharing"",""นครนายก!J428"")"),22)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IFERROR(__xludf.DUMMYFUNCTION("IMPORTRANGE(""https://docs.google.com/spreadsheets/d/1SX6NBoVAgQJ6U1MVXOaj8PK2l7WJ3RER9xtqwdhxkhw/edit?usp=sharing"",""นครนายก!L428"")"),34340)</f>
        <v>34340</v>
      </c>
      <c r="M533" s="412"/>
      <c r="N533" s="412">
        <f ca="1">IFERROR(__xludf.DUMMYFUNCTION("IMPORTRANGE(""https://docs.google.com/spreadsheets/d/1SX6NBoVAgQJ6U1MVXOaj8PK2l7WJ3RER9xtqwdhxkhw/edit?usp=sharing"",""นครนายก!M428"")"),20370)</f>
        <v>20370</v>
      </c>
      <c r="O533" s="412">
        <f t="shared" ref="O533:O537" ca="1" si="118">+IF(L533&gt;0,N533*100/L533,0)</f>
        <v>59.318578916715204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IFERROR(__xludf.DUMMYFUNCTION("IMPORTRANGE(""https://docs.google.com/spreadsheets/d/1SX6NBoVAgQJ6U1MVXOaj8PK2l7WJ3RER9xtqwdhxkhw/edit?usp=sharing"",""นครนายก!L429"")"),0)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IFERROR(__xludf.DUMMYFUNCTION("IMPORTRANGE(""https://docs.google.com/spreadsheets/d/1SX6NBoVAgQJ6U1MVXOaj8PK2l7WJ3RER9xtqwdhxkhw/edit?usp=sharing"",""นครนายก!M429"")"),0)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IFERROR(__xludf.DUMMYFUNCTION("IMPORTRANGE(""https://docs.google.com/spreadsheets/d/1SX6NBoVAgQJ6U1MVXOaj8PK2l7WJ3RER9xtqwdhxkhw/edit?usp=sharing"",""นครนายก!L430"")"),34340)</f>
        <v>34340</v>
      </c>
      <c r="M535" s="165"/>
      <c r="N535" s="169">
        <f ca="1">IFERROR(__xludf.DUMMYFUNCTION("IMPORTRANGE(""https://docs.google.com/spreadsheets/d/1SX6NBoVAgQJ6U1MVXOaj8PK2l7WJ3RER9xtqwdhxkhw/edit?usp=sharing"",""นครนายก!M430"")"),20370)</f>
        <v>20370</v>
      </c>
      <c r="O535" s="169">
        <f t="shared" ca="1" si="118"/>
        <v>59.318578916715204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IFERROR(__xludf.DUMMYFUNCTION("IMPORTRANGE(""https://docs.google.com/spreadsheets/d/1SX6NBoVAgQJ6U1MVXOaj8PK2l7WJ3RER9xtqwdhxkhw/edit?usp=sharing"",""นครนายก!L431"")"),0)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IFERROR(__xludf.DUMMYFUNCTION("IMPORTRANGE(""https://docs.google.com/spreadsheets/d/1SX6NBoVAgQJ6U1MVXOaj8PK2l7WJ3RER9xtqwdhxkhw/edit?usp=sharing"",""นครนายก!M431"")"),0)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IFERROR(__xludf.DUMMYFUNCTION("IMPORTRANGE(""https://docs.google.com/spreadsheets/d/1SX6NBoVAgQJ6U1MVXOaj8PK2l7WJ3RER9xtqwdhxkhw/edit?usp=sharing"",""นครนายก!L432"")"),34340)</f>
        <v>34340</v>
      </c>
      <c r="M537" s="169"/>
      <c r="N537" s="169">
        <f ca="1">IFERROR(__xludf.DUMMYFUNCTION("IMPORTRANGE(""https://docs.google.com/spreadsheets/d/1SX6NBoVAgQJ6U1MVXOaj8PK2l7WJ3RER9xtqwdhxkhw/edit?usp=sharing"",""นครนายก!M432"")"),20370)</f>
        <v>20370</v>
      </c>
      <c r="O537" s="169">
        <f t="shared" ca="1" si="118"/>
        <v>59.318578916715204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IFERROR(__xludf.DUMMYFUNCTION("IMPORTRANGE(""https://docs.google.com/spreadsheets/d/1SX6NBoVAgQJ6U1MVXOaj8PK2l7WJ3RER9xtqwdhxkhw/edit?usp=sharing"",""นครนายก!M433"")"),11410)</f>
        <v>11410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IFERROR(__xludf.DUMMYFUNCTION("IMPORTRANGE(""https://docs.google.com/spreadsheets/d/1SX6NBoVAgQJ6U1MVXOaj8PK2l7WJ3RER9xtqwdhxkhw/edit?usp=sharing"",""นครนายก!M434"")"),0)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IFERROR(__xludf.DUMMYFUNCTION("IMPORTRANGE(""https://docs.google.com/spreadsheets/d/1SX6NBoVAgQJ6U1MVXOaj8PK2l7WJ3RER9xtqwdhxkhw/edit?usp=sharing"",""นครนายก!M435"")"),0)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IFERROR(__xludf.DUMMYFUNCTION("IMPORTRANGE(""https://docs.google.com/spreadsheets/d/1SX6NBoVAgQJ6U1MVXOaj8PK2l7WJ3RER9xtqwdhxkhw/edit?usp=sharing"",""นครนายก!M436"")"),8960)</f>
        <v>8960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IFERROR(__xludf.DUMMYFUNCTION("IMPORTRANGE(""https://docs.google.com/spreadsheets/d/1SX6NBoVAgQJ6U1MVXOaj8PK2l7WJ3RER9xtqwdhxkhw/edit?usp=sharing"",""นครนายก!J438"")"),0)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IFERROR(__xludf.DUMMYFUNCTION("IMPORTRANGE(""https://docs.google.com/spreadsheets/d/1SX6NBoVAgQJ6U1MVXOaj8PK2l7WJ3RER9xtqwdhxkhw/edit?usp=sharing"",""นครนายก!J439"")"),1)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IFERROR(__xludf.DUMMYFUNCTION("IMPORTRANGE(""https://docs.google.com/spreadsheets/d/1SX6NBoVAgQJ6U1MVXOaj8PK2l7WJ3RER9xtqwdhxkhw/edit?usp=sharing"",""นครนายก!J440"")"),1)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IFERROR(__xludf.DUMMYFUNCTION("IMPORTRANGE(""https://docs.google.com/spreadsheets/d/1SX6NBoVAgQJ6U1MVXOaj8PK2l7WJ3RER9xtqwdhxkhw/edit?usp=sharing"",""นครนายก!J441"")"),1)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IFERROR(__xludf.DUMMYFUNCTION("IMPORTRANGE(""https://docs.google.com/spreadsheets/d/1SX6NBoVAgQJ6U1MVXOaj8PK2l7WJ3RER9xtqwdhxkhw/edit?usp=sharing"",""นครนายก!I442"")"),22)</f>
        <v>22</v>
      </c>
      <c r="J547" s="189">
        <f ca="1">IFERROR(__xludf.DUMMYFUNCTION("IMPORTRANGE(""https://docs.google.com/spreadsheets/d/1SX6NBoVAgQJ6U1MVXOaj8PK2l7WJ3RER9xtqwdhxkhw/edit?usp=sharing"",""นครนายก!J442"")"),22)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IFERROR(__xludf.DUMMYFUNCTION("IMPORTRANGE(""https://docs.google.com/spreadsheets/d/1SX6NBoVAgQJ6U1MVXOaj8PK2l7WJ3RER9xtqwdhxkhw/edit?usp=sharing"",""นครนายก!J166"")"),0)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IFERROR(__xludf.DUMMYFUNCTION("IMPORTRANGE(""https://docs.google.com/spreadsheets/d/1SX6NBoVAgQJ6U1MVXOaj8PK2l7WJ3RER9xtqwdhxkhw/edit?usp=sharing"",""นครนายก!J444"")"),0)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IFERROR(__xludf.DUMMYFUNCTION("IMPORTRANGE(""https://docs.google.com/spreadsheets/d/1SX6NBoVAgQJ6U1MVXOaj8PK2l7WJ3RER9xtqwdhxkhw/edit?usp=sharing"",""นครนายก!J445"")"),0)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IFERROR(__xludf.DUMMYFUNCTION("IMPORTRANGE(""https://docs.google.com/spreadsheets/d/1SX6NBoVAgQJ6U1MVXOaj8PK2l7WJ3RER9xtqwdhxkhw/edit?usp=sharing"",""นครนายก!I446"")"),0)</f>
        <v>0</v>
      </c>
      <c r="J551" s="410">
        <f ca="1">IFERROR(__xludf.DUMMYFUNCTION("IMPORTRANGE(""https://docs.google.com/spreadsheets/d/1SX6NBoVAgQJ6U1MVXOaj8PK2l7WJ3RER9xtqwdhxkhw/edit?usp=sharing"",""นครนายก!J446"")"),0)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IFERROR(__xludf.DUMMYFUNCTION("IMPORTRANGE(""https://docs.google.com/spreadsheets/d/1SX6NBoVAgQJ6U1MVXOaj8PK2l7WJ3RER9xtqwdhxkhw/edit?usp=sharing"",""นครนายก!L446"")"),0)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IFERROR(__xludf.DUMMYFUNCTION("IMPORTRANGE(""https://docs.google.com/spreadsheets/d/1SX6NBoVAgQJ6U1MVXOaj8PK2l7WJ3RER9xtqwdhxkhw/edit?usp=sharing"",""นครนายก!M446"")"),0)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IFERROR(__xludf.DUMMYFUNCTION("IMPORTRANGE(""https://docs.google.com/spreadsheets/d/1SX6NBoVAgQJ6U1MVXOaj8PK2l7WJ3RER9xtqwdhxkhw/edit?usp=sharing"",""นครนายก!L447"")"),0)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IFERROR(__xludf.DUMMYFUNCTION("IMPORTRANGE(""https://docs.google.com/spreadsheets/d/1SX6NBoVAgQJ6U1MVXOaj8PK2l7WJ3RER9xtqwdhxkhw/edit?usp=sharing"",""นครนายก!M447"")"),0)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IFERROR(__xludf.DUMMYFUNCTION("IMPORTRANGE(""https://docs.google.com/spreadsheets/d/1SX6NBoVAgQJ6U1MVXOaj8PK2l7WJ3RER9xtqwdhxkhw/edit?usp=sharing"",""นครนายก!L448"")"),0)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IFERROR(__xludf.DUMMYFUNCTION("IMPORTRANGE(""https://docs.google.com/spreadsheets/d/1SX6NBoVAgQJ6U1MVXOaj8PK2l7WJ3RER9xtqwdhxkhw/edit?usp=sharing"",""นครนายก!M448"")"),0)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IFERROR(__xludf.DUMMYFUNCTION("IMPORTRANGE(""https://docs.google.com/spreadsheets/d/1SX6NBoVAgQJ6U1MVXOaj8PK2l7WJ3RER9xtqwdhxkhw/edit?usp=sharing"",""นครนายก!L449"")"),0)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IFERROR(__xludf.DUMMYFUNCTION("IMPORTRANGE(""https://docs.google.com/spreadsheets/d/1SX6NBoVAgQJ6U1MVXOaj8PK2l7WJ3RER9xtqwdhxkhw/edit?usp=sharing"",""นครนายก!M449"")"),0)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IFERROR(__xludf.DUMMYFUNCTION("IMPORTRANGE(""https://docs.google.com/spreadsheets/d/1SX6NBoVAgQJ6U1MVXOaj8PK2l7WJ3RER9xtqwdhxkhw/edit?usp=sharing"",""นครนายก!L450"")"),0)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IFERROR(__xludf.DUMMYFUNCTION("IMPORTRANGE(""https://docs.google.com/spreadsheets/d/1SX6NBoVAgQJ6U1MVXOaj8PK2l7WJ3RER9xtqwdhxkhw/edit?usp=sharing"",""นครนายก!M450"")"),0)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IFERROR(__xludf.DUMMYFUNCTION("IMPORTRANGE(""https://docs.google.com/spreadsheets/d/1SX6NBoVAgQJ6U1MVXOaj8PK2l7WJ3RER9xtqwdhxkhw/edit?usp=sharing"",""นครนายก!M451"")"),0)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IFERROR(__xludf.DUMMYFUNCTION("IMPORTRANGE(""https://docs.google.com/spreadsheets/d/1SX6NBoVAgQJ6U1MVXOaj8PK2l7WJ3RER9xtqwdhxkhw/edit?usp=sharing"",""นครนายก!M452"")"),0)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IFERROR(__xludf.DUMMYFUNCTION("IMPORTRANGE(""https://docs.google.com/spreadsheets/d/1SX6NBoVAgQJ6U1MVXOaj8PK2l7WJ3RER9xtqwdhxkhw/edit?usp=sharing"",""นครนายก!M453"")"),0)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IFERROR(__xludf.DUMMYFUNCTION("IMPORTRANGE(""https://docs.google.com/spreadsheets/d/1SX6NBoVAgQJ6U1MVXOaj8PK2l7WJ3RER9xtqwdhxkhw/edit?usp=sharing"",""นครนายก!M454"")"),0)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IFERROR(__xludf.DUMMYFUNCTION("IMPORTRANGE(""https://docs.google.com/spreadsheets/d/1SX6NBoVAgQJ6U1MVXOaj8PK2l7WJ3RER9xtqwdhxkhw/edit?usp=sharing"",""นครนายก!I455"")"),0)</f>
        <v>0</v>
      </c>
      <c r="J560" s="162">
        <f ca="1">IFERROR(__xludf.DUMMYFUNCTION("IMPORTRANGE(""https://docs.google.com/spreadsheets/d/1SX6NBoVAgQJ6U1MVXOaj8PK2l7WJ3RER9xtqwdhxkhw/edit?usp=sharing"",""นครนายก!J455"")"),0)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IFERROR(__xludf.DUMMYFUNCTION("IMPORTRANGE(""https://docs.google.com/spreadsheets/d/1SX6NBoVAgQJ6U1MVXOaj8PK2l7WJ3RER9xtqwdhxkhw/edit?usp=sharing"",""นครนายก!I456"")"),0)</f>
        <v>0</v>
      </c>
      <c r="J561" s="204">
        <f ca="1">IFERROR(__xludf.DUMMYFUNCTION("IMPORTRANGE(""https://docs.google.com/spreadsheets/d/1SX6NBoVAgQJ6U1MVXOaj8PK2l7WJ3RER9xtqwdhxkhw/edit?usp=sharing"",""นครนายก!J456"")"),0)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IFERROR(__xludf.DUMMYFUNCTION("IMPORTRANGE(""https://docs.google.com/spreadsheets/d/1SX6NBoVAgQJ6U1MVXOaj8PK2l7WJ3RER9xtqwdhxkhw/edit?usp=sharing"",""นครนายก!I459"")"),150)</f>
        <v>150</v>
      </c>
      <c r="J564" s="371">
        <f ca="1">IFERROR(__xludf.DUMMYFUNCTION("IMPORTRANGE(""https://docs.google.com/spreadsheets/d/1SX6NBoVAgQJ6U1MVXOaj8PK2l7WJ3RER9xtqwdhxkhw/edit?usp=sharing"",""นครนายก!J459"")"),1010)</f>
        <v>1010</v>
      </c>
      <c r="K564" s="372">
        <f ca="1">IF(I564&gt;0,J564*100/I564,0)</f>
        <v>673.33333333333337</v>
      </c>
      <c r="L564" s="373">
        <f ca="1">IFERROR(__xludf.DUMMYFUNCTION("IMPORTRANGE(""https://docs.google.com/spreadsheets/d/1SX6NBoVAgQJ6U1MVXOaj8PK2l7WJ3RER9xtqwdhxkhw/edit?usp=sharing"",""นครนายก!L459"")"),119520)</f>
        <v>119520</v>
      </c>
      <c r="M564" s="373"/>
      <c r="N564" s="373">
        <f ca="1">IFERROR(__xludf.DUMMYFUNCTION("IMPORTRANGE(""https://docs.google.com/spreadsheets/d/1SX6NBoVAgQJ6U1MVXOaj8PK2l7WJ3RER9xtqwdhxkhw/edit?usp=sharing"",""นครนายก!M459"")"),37080)</f>
        <v>37080</v>
      </c>
      <c r="O564" s="373">
        <f t="shared" ref="O564:O568" ca="1" si="122">+IF(L564&gt;0,N564*100/L564,0)</f>
        <v>31.024096385542169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IFERROR(__xludf.DUMMYFUNCTION("IMPORTRANGE(""https://docs.google.com/spreadsheets/d/1SX6NBoVAgQJ6U1MVXOaj8PK2l7WJ3RER9xtqwdhxkhw/edit?usp=sharing"",""นครนายก!L460"")"),0)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IFERROR(__xludf.DUMMYFUNCTION("IMPORTRANGE(""https://docs.google.com/spreadsheets/d/1SX6NBoVAgQJ6U1MVXOaj8PK2l7WJ3RER9xtqwdhxkhw/edit?usp=sharing"",""นครนายก!M460"")"),0)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IFERROR(__xludf.DUMMYFUNCTION("IMPORTRANGE(""https://docs.google.com/spreadsheets/d/1SX6NBoVAgQJ6U1MVXOaj8PK2l7WJ3RER9xtqwdhxkhw/edit?usp=sharing"",""นครนายก!L461"")"),119520)</f>
        <v>119520</v>
      </c>
      <c r="M566" s="165"/>
      <c r="N566" s="169">
        <f ca="1">IFERROR(__xludf.DUMMYFUNCTION("IMPORTRANGE(""https://docs.google.com/spreadsheets/d/1SX6NBoVAgQJ6U1MVXOaj8PK2l7WJ3RER9xtqwdhxkhw/edit?usp=sharing"",""นครนายก!M461"")"),37080)</f>
        <v>37080</v>
      </c>
      <c r="O566" s="169">
        <f t="shared" ca="1" si="122"/>
        <v>31.024096385542169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IFERROR(__xludf.DUMMYFUNCTION("IMPORTRANGE(""https://docs.google.com/spreadsheets/d/1SX6NBoVAgQJ6U1MVXOaj8PK2l7WJ3RER9xtqwdhxkhw/edit?usp=sharing"",""นครนายก!L462"")"),0)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IFERROR(__xludf.DUMMYFUNCTION("IMPORTRANGE(""https://docs.google.com/spreadsheets/d/1SX6NBoVAgQJ6U1MVXOaj8PK2l7WJ3RER9xtqwdhxkhw/edit?usp=sharing"",""นครนายก!M462"")"),0)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IFERROR(__xludf.DUMMYFUNCTION("IMPORTRANGE(""https://docs.google.com/spreadsheets/d/1SX6NBoVAgQJ6U1MVXOaj8PK2l7WJ3RER9xtqwdhxkhw/edit?usp=sharing"",""นครนายก!L463"")"),119520)</f>
        <v>119520</v>
      </c>
      <c r="M568" s="169"/>
      <c r="N568" s="169">
        <f ca="1">IFERROR(__xludf.DUMMYFUNCTION("IMPORTRANGE(""https://docs.google.com/spreadsheets/d/1SX6NBoVAgQJ6U1MVXOaj8PK2l7WJ3RER9xtqwdhxkhw/edit?usp=sharing"",""นครนายก!M463"")"),37080)</f>
        <v>37080</v>
      </c>
      <c r="O568" s="169">
        <f t="shared" ca="1" si="122"/>
        <v>31.024096385542169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IFERROR(__xludf.DUMMYFUNCTION("IMPORTRANGE(""https://docs.google.com/spreadsheets/d/1SX6NBoVAgQJ6U1MVXOaj8PK2l7WJ3RER9xtqwdhxkhw/edit?usp=sharing"",""นครนายก!M464"")"),0)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IFERROR(__xludf.DUMMYFUNCTION("IMPORTRANGE(""https://docs.google.com/spreadsheets/d/1SX6NBoVAgQJ6U1MVXOaj8PK2l7WJ3RER9xtqwdhxkhw/edit?usp=sharing"",""นครนายก!M465"")"),0)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IFERROR(__xludf.DUMMYFUNCTION("IMPORTRANGE(""https://docs.google.com/spreadsheets/d/1SX6NBoVAgQJ6U1MVXOaj8PK2l7WJ3RER9xtqwdhxkhw/edit?usp=sharing"",""นครนายก!M466"")"),33000)</f>
        <v>33000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IFERROR(__xludf.DUMMYFUNCTION("IMPORTRANGE(""https://docs.google.com/spreadsheets/d/1SX6NBoVAgQJ6U1MVXOaj8PK2l7WJ3RER9xtqwdhxkhw/edit?usp=sharing"",""นครนายก!M467"")"),4080)</f>
        <v>4080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IFERROR(__xludf.DUMMYFUNCTION("IMPORTRANGE(""https://docs.google.com/spreadsheets/d/1SX6NBoVAgQJ6U1MVXOaj8PK2l7WJ3RER9xtqwdhxkhw/edit?usp=sharing"",""นครนายก!I468"")"),150)</f>
        <v>150</v>
      </c>
      <c r="J573" s="420">
        <f ca="1">IFERROR(__xludf.DUMMYFUNCTION("IMPORTRANGE(""https://docs.google.com/spreadsheets/d/1SX6NBoVAgQJ6U1MVXOaj8PK2l7WJ3RER9xtqwdhxkhw/edit?usp=sharing"",""นครนายก!J468"")"),1010)</f>
        <v>1010</v>
      </c>
      <c r="K573" s="202">
        <f ca="1">IF(I573&gt;0,J573*100/I573,0)</f>
        <v>673.33333333333337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IFERROR(__xludf.DUMMYFUNCTION("IMPORTRANGE(""https://docs.google.com/spreadsheets/d/1SX6NBoVAgQJ6U1MVXOaj8PK2l7WJ3RER9xtqwdhxkhw/edit?usp=sharing"",""นครนายก!I470"")"),0)</f>
        <v>0</v>
      </c>
      <c r="J575" s="198">
        <f ca="1">IFERROR(__xludf.DUMMYFUNCTION("IMPORTRANGE(""https://docs.google.com/spreadsheets/d/1SX6NBoVAgQJ6U1MVXOaj8PK2l7WJ3RER9xtqwdhxkhw/edit?usp=sharing"",""นครนายก!J470"")"),4)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IFERROR(__xludf.DUMMYFUNCTION("IMPORTRANGE(""https://docs.google.com/spreadsheets/d/1SX6NBoVAgQJ6U1MVXOaj8PK2l7WJ3RER9xtqwdhxkhw/edit?usp=sharing"",""นครนายก!I471"")"),0)</f>
        <v>0</v>
      </c>
      <c r="J576" s="198">
        <f ca="1">IFERROR(__xludf.DUMMYFUNCTION("IMPORTRANGE(""https://docs.google.com/spreadsheets/d/1SX6NBoVAgQJ6U1MVXOaj8PK2l7WJ3RER9xtqwdhxkhw/edit?usp=sharing"",""นครนายก!J471"")"),109)</f>
        <v>109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IFERROR(__xludf.DUMMYFUNCTION("IMPORTRANGE(""https://docs.google.com/spreadsheets/d/1SX6NBoVAgQJ6U1MVXOaj8PK2l7WJ3RER9xtqwdhxkhw/edit?usp=sharing"",""นครนายก!I472"")"),0)</f>
        <v>0</v>
      </c>
      <c r="J577" s="189">
        <f ca="1">IFERROR(__xludf.DUMMYFUNCTION("IMPORTRANGE(""https://docs.google.com/spreadsheets/d/1SX6NBoVAgQJ6U1MVXOaj8PK2l7WJ3RER9xtqwdhxkhw/edit?usp=sharing"",""นครนายก!J472"")"),901)</f>
        <v>901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IFERROR(__xludf.DUMMYFUNCTION("IMPORTRANGE(""https://docs.google.com/spreadsheets/d/1SX6NBoVAgQJ6U1MVXOaj8PK2l7WJ3RER9xtqwdhxkhw/edit?usp=sharing"",""นครนายก!I473"")"),0)</f>
        <v>0</v>
      </c>
      <c r="J578" s="198">
        <f ca="1">IFERROR(__xludf.DUMMYFUNCTION("IMPORTRANGE(""https://docs.google.com/spreadsheets/d/1SX6NBoVAgQJ6U1MVXOaj8PK2l7WJ3RER9xtqwdhxkhw/edit?usp=sharing"",""นครนายก!J473"")"),0)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IFERROR(__xludf.DUMMYFUNCTION("IMPORTRANGE(""https://docs.google.com/spreadsheets/d/1SX6NBoVAgQJ6U1MVXOaj8PK2l7WJ3RER9xtqwdhxkhw/edit?usp=sharing"",""นครนายก!I474"")"),0)</f>
        <v>0</v>
      </c>
      <c r="J579" s="198">
        <f ca="1">IFERROR(__xludf.DUMMYFUNCTION("IMPORTRANGE(""https://docs.google.com/spreadsheets/d/1SX6NBoVAgQJ6U1MVXOaj8PK2l7WJ3RER9xtqwdhxkhw/edit?usp=sharing"",""นครนายก!J474"")"),0)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IFERROR(__xludf.DUMMYFUNCTION("IMPORTRANGE(""https://docs.google.com/spreadsheets/d/1SX6NBoVAgQJ6U1MVXOaj8PK2l7WJ3RER9xtqwdhxkhw/edit?usp=sharing"",""นครนายก!I475"")"),0)</f>
        <v>0</v>
      </c>
      <c r="J580" s="371">
        <f ca="1">IFERROR(__xludf.DUMMYFUNCTION("IMPORTRANGE(""https://docs.google.com/spreadsheets/d/1SX6NBoVAgQJ6U1MVXOaj8PK2l7WJ3RER9xtqwdhxkhw/edit?usp=sharing"",""นครนายก!J475"")"),0)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IFERROR(__xludf.DUMMYFUNCTION("IMPORTRANGE(""https://docs.google.com/spreadsheets/d/1SX6NBoVAgQJ6U1MVXOaj8PK2l7WJ3RER9xtqwdhxkhw/edit?usp=sharing"",""นครนายก!L475"")"),0)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IFERROR(__xludf.DUMMYFUNCTION("IMPORTRANGE(""https://docs.google.com/spreadsheets/d/1SX6NBoVAgQJ6U1MVXOaj8PK2l7WJ3RER9xtqwdhxkhw/edit?usp=sharing"",""นครนายก!M475"")"),0)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IFERROR(__xludf.DUMMYFUNCTION("IMPORTRANGE(""https://docs.google.com/spreadsheets/d/1SX6NBoVAgQJ6U1MVXOaj8PK2l7WJ3RER9xtqwdhxkhw/edit?usp=sharing"",""นครนายก!L476"")"),0)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IFERROR(__xludf.DUMMYFUNCTION("IMPORTRANGE(""https://docs.google.com/spreadsheets/d/1SX6NBoVAgQJ6U1MVXOaj8PK2l7WJ3RER9xtqwdhxkhw/edit?usp=sharing"",""นครนายก!M476"")"),0)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IFERROR(__xludf.DUMMYFUNCTION("IMPORTRANGE(""https://docs.google.com/spreadsheets/d/1SX6NBoVAgQJ6U1MVXOaj8PK2l7WJ3RER9xtqwdhxkhw/edit?usp=sharing"",""นครนายก!L477"")"),0)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IFERROR(__xludf.DUMMYFUNCTION("IMPORTRANGE(""https://docs.google.com/spreadsheets/d/1SX6NBoVAgQJ6U1MVXOaj8PK2l7WJ3RER9xtqwdhxkhw/edit?usp=sharing"",""นครนายก!M477"")"),0)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IFERROR(__xludf.DUMMYFUNCTION("IMPORTRANGE(""https://docs.google.com/spreadsheets/d/1SX6NBoVAgQJ6U1MVXOaj8PK2l7WJ3RER9xtqwdhxkhw/edit?usp=sharing"",""นครนายก!L478"")"),0)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IFERROR(__xludf.DUMMYFUNCTION("IMPORTRANGE(""https://docs.google.com/spreadsheets/d/1SX6NBoVAgQJ6U1MVXOaj8PK2l7WJ3RER9xtqwdhxkhw/edit?usp=sharing"",""นครนายก!M478"")"),0)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IFERROR(__xludf.DUMMYFUNCTION("IMPORTRANGE(""https://docs.google.com/spreadsheets/d/1SX6NBoVAgQJ6U1MVXOaj8PK2l7WJ3RER9xtqwdhxkhw/edit?usp=sharing"",""นครนายก!L479"")"),0)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IFERROR(__xludf.DUMMYFUNCTION("IMPORTRANGE(""https://docs.google.com/spreadsheets/d/1SX6NBoVAgQJ6U1MVXOaj8PK2l7WJ3RER9xtqwdhxkhw/edit?usp=sharing"",""นครนายก!M479"")"),0)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IFERROR(__xludf.DUMMYFUNCTION("IMPORTRANGE(""https://docs.google.com/spreadsheets/d/1SX6NBoVAgQJ6U1MVXOaj8PK2l7WJ3RER9xtqwdhxkhw/edit?usp=sharing"",""นครนายก!M480"")"),0)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IFERROR(__xludf.DUMMYFUNCTION("IMPORTRANGE(""https://docs.google.com/spreadsheets/d/1SX6NBoVAgQJ6U1MVXOaj8PK2l7WJ3RER9xtqwdhxkhw/edit?usp=sharing"",""นครนายก!M481"")"),0)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IFERROR(__xludf.DUMMYFUNCTION("IMPORTRANGE(""https://docs.google.com/spreadsheets/d/1SX6NBoVAgQJ6U1MVXOaj8PK2l7WJ3RER9xtqwdhxkhw/edit?usp=sharing"",""นครนายก!M482"")"),0)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IFERROR(__xludf.DUMMYFUNCTION("IMPORTRANGE(""https://docs.google.com/spreadsheets/d/1SX6NBoVAgQJ6U1MVXOaj8PK2l7WJ3RER9xtqwdhxkhw/edit?usp=sharing"",""นครนายก!M483"")"),0)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IFERROR(__xludf.DUMMYFUNCTION("IMPORTRANGE(""https://docs.google.com/spreadsheets/d/1SX6NBoVAgQJ6U1MVXOaj8PK2l7WJ3RER9xtqwdhxkhw/edit?usp=sharing"",""นครนายก!I484"")"),0)</f>
        <v>0</v>
      </c>
      <c r="J589" s="188">
        <f ca="1">IFERROR(__xludf.DUMMYFUNCTION("IMPORTRANGE(""https://docs.google.com/spreadsheets/d/1SX6NBoVAgQJ6U1MVXOaj8PK2l7WJ3RER9xtqwdhxkhw/edit?usp=sharing"",""นครนายก!J484"")"),0)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IFERROR(__xludf.DUMMYFUNCTION("IMPORTRANGE(""https://docs.google.com/spreadsheets/d/1SX6NBoVAgQJ6U1MVXOaj8PK2l7WJ3RER9xtqwdhxkhw/edit?usp=sharing"",""นครนายก!I485"")"),0)</f>
        <v>0</v>
      </c>
      <c r="J590" s="188">
        <f ca="1">IFERROR(__xludf.DUMMYFUNCTION("IMPORTRANGE(""https://docs.google.com/spreadsheets/d/1SX6NBoVAgQJ6U1MVXOaj8PK2l7WJ3RER9xtqwdhxkhw/edit?usp=sharing"",""นครนายก!J485"")"),0)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IFERROR(__xludf.DUMMYFUNCTION("IMPORTRANGE(""https://docs.google.com/spreadsheets/d/1SX6NBoVAgQJ6U1MVXOaj8PK2l7WJ3RER9xtqwdhxkhw/edit?usp=sharing"",""นครนายก!I486"")"),0)</f>
        <v>0</v>
      </c>
      <c r="J591" s="188">
        <f ca="1">IFERROR(__xludf.DUMMYFUNCTION("IMPORTRANGE(""https://docs.google.com/spreadsheets/d/1SX6NBoVAgQJ6U1MVXOaj8PK2l7WJ3RER9xtqwdhxkhw/edit?usp=sharing"",""นครนายก!J486"")"),0)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IFERROR(__xludf.DUMMYFUNCTION("IMPORTRANGE(""https://docs.google.com/spreadsheets/d/1SX6NBoVAgQJ6U1MVXOaj8PK2l7WJ3RER9xtqwdhxkhw/edit?usp=sharing"",""นครนายก!I487"")"),0)</f>
        <v>0</v>
      </c>
      <c r="J592" s="188">
        <f ca="1">IFERROR(__xludf.DUMMYFUNCTION("IMPORTRANGE(""https://docs.google.com/spreadsheets/d/1SX6NBoVAgQJ6U1MVXOaj8PK2l7WJ3RER9xtqwdhxkhw/edit?usp=sharing"",""นครนายก!J487"")"),0)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IFERROR(__xludf.DUMMYFUNCTION("IMPORTRANGE(""https://docs.google.com/spreadsheets/d/1SX6NBoVAgQJ6U1MVXOaj8PK2l7WJ3RER9xtqwdhxkhw/edit?usp=sharing"",""นครนายก!I488"")"),0)</f>
        <v>0</v>
      </c>
      <c r="J593" s="188">
        <f ca="1">IFERROR(__xludf.DUMMYFUNCTION("IMPORTRANGE(""https://docs.google.com/spreadsheets/d/1SX6NBoVAgQJ6U1MVXOaj8PK2l7WJ3RER9xtqwdhxkhw/edit?usp=sharing"",""นครนายก!J488"")"),0)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IFERROR(__xludf.DUMMYFUNCTION("IMPORTRANGE(""https://docs.google.com/spreadsheets/d/1SX6NBoVAgQJ6U1MVXOaj8PK2l7WJ3RER9xtqwdhxkhw/edit?usp=sharing"",""นครนายก!I489"")"),0)</f>
        <v>0</v>
      </c>
      <c r="J594" s="188">
        <f ca="1">IFERROR(__xludf.DUMMYFUNCTION("IMPORTRANGE(""https://docs.google.com/spreadsheets/d/1SX6NBoVAgQJ6U1MVXOaj8PK2l7WJ3RER9xtqwdhxkhw/edit?usp=sharing"",""นครนายก!J489"")"),0)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IFERROR(__xludf.DUMMYFUNCTION("IMPORTRANGE(""https://docs.google.com/spreadsheets/d/1SX6NBoVAgQJ6U1MVXOaj8PK2l7WJ3RER9xtqwdhxkhw/edit?usp=sharing"",""นครนายก!I490"")"),0)</f>
        <v>0</v>
      </c>
      <c r="J595" s="188">
        <f ca="1">IFERROR(__xludf.DUMMYFUNCTION("IMPORTRANGE(""https://docs.google.com/spreadsheets/d/1SX6NBoVAgQJ6U1MVXOaj8PK2l7WJ3RER9xtqwdhxkhw/edit?usp=sharing"",""นครนายก!J490"")"),0)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IFERROR(__xludf.DUMMYFUNCTION("IMPORTRANGE(""https://docs.google.com/spreadsheets/d/1SX6NBoVAgQJ6U1MVXOaj8PK2l7WJ3RER9xtqwdhxkhw/edit?usp=sharing"",""นครนายก!I491"")"),0)</f>
        <v>0</v>
      </c>
      <c r="J596" s="242">
        <f ca="1">IFERROR(__xludf.DUMMYFUNCTION("IMPORTRANGE(""https://docs.google.com/spreadsheets/d/1SX6NBoVAgQJ6U1MVXOaj8PK2l7WJ3RER9xtqwdhxkhw/edit?usp=sharing"",""นครนายก!J491"")"),0)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IFERROR(__xludf.DUMMYFUNCTION("IMPORTRANGE(""https://docs.google.com/spreadsheets/d/1SX6NBoVAgQJ6U1MVXOaj8PK2l7WJ3RER9xtqwdhxkhw/edit?usp=sharing"",""นครนายก!I492"")"),50)</f>
        <v>50</v>
      </c>
      <c r="J597" s="488">
        <f ca="1">IFERROR(__xludf.DUMMYFUNCTION("IMPORTRANGE(""https://docs.google.com/spreadsheets/d/1SX6NBoVAgQJ6U1MVXOaj8PK2l7WJ3RER9xtqwdhxkhw/edit?usp=sharing"",""นครนายก!J492"")"),0)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IFERROR(__xludf.DUMMYFUNCTION("IMPORTRANGE(""https://docs.google.com/spreadsheets/d/1SX6NBoVAgQJ6U1MVXOaj8PK2l7WJ3RER9xtqwdhxkhw/edit?usp=sharing"",""นครนายก!L492"")"),6950)</f>
        <v>6950</v>
      </c>
      <c r="M597" s="412"/>
      <c r="N597" s="412">
        <f ca="1">IFERROR(__xludf.DUMMYFUNCTION("IMPORTRANGE(""https://docs.google.com/spreadsheets/d/1SX6NBoVAgQJ6U1MVXOaj8PK2l7WJ3RER9xtqwdhxkhw/edit?usp=sharing"",""นครนายก!M492"")"),0)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IFERROR(__xludf.DUMMYFUNCTION("IMPORTRANGE(""https://docs.google.com/spreadsheets/d/1SX6NBoVAgQJ6U1MVXOaj8PK2l7WJ3RER9xtqwdhxkhw/edit?usp=sharing"",""นครนายก!L493"")"),0)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IFERROR(__xludf.DUMMYFUNCTION("IMPORTRANGE(""https://docs.google.com/spreadsheets/d/1SX6NBoVAgQJ6U1MVXOaj8PK2l7WJ3RER9xtqwdhxkhw/edit?usp=sharing"",""นครนายก!M493"")"),0)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IFERROR(__xludf.DUMMYFUNCTION("IMPORTRANGE(""https://docs.google.com/spreadsheets/d/1SX6NBoVAgQJ6U1MVXOaj8PK2l7WJ3RER9xtqwdhxkhw/edit?usp=sharing"",""นครนายก!L494"")"),6950)</f>
        <v>6950</v>
      </c>
      <c r="M599" s="165"/>
      <c r="N599" s="169">
        <f ca="1">IFERROR(__xludf.DUMMYFUNCTION("IMPORTRANGE(""https://docs.google.com/spreadsheets/d/1SX6NBoVAgQJ6U1MVXOaj8PK2l7WJ3RER9xtqwdhxkhw/edit?usp=sharing"",""นครนายก!M494"")"),0)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IFERROR(__xludf.DUMMYFUNCTION("IMPORTRANGE(""https://docs.google.com/spreadsheets/d/1SX6NBoVAgQJ6U1MVXOaj8PK2l7WJ3RER9xtqwdhxkhw/edit?usp=sharing"",""นครนายก!L495"")"),0)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IFERROR(__xludf.DUMMYFUNCTION("IMPORTRANGE(""https://docs.google.com/spreadsheets/d/1SX6NBoVAgQJ6U1MVXOaj8PK2l7WJ3RER9xtqwdhxkhw/edit?usp=sharing"",""นครนายก!M495"")"),0)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IFERROR(__xludf.DUMMYFUNCTION("IMPORTRANGE(""https://docs.google.com/spreadsheets/d/1SX6NBoVAgQJ6U1MVXOaj8PK2l7WJ3RER9xtqwdhxkhw/edit?usp=sharing"",""นครนายก!L496"")"),6950)</f>
        <v>6950</v>
      </c>
      <c r="M601" s="169"/>
      <c r="N601" s="169">
        <f ca="1">IFERROR(__xludf.DUMMYFUNCTION("IMPORTRANGE(""https://docs.google.com/spreadsheets/d/1SX6NBoVAgQJ6U1MVXOaj8PK2l7WJ3RER9xtqwdhxkhw/edit?usp=sharing"",""นครนายก!M496"")"),0)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IFERROR(__xludf.DUMMYFUNCTION("IMPORTRANGE(""https://docs.google.com/spreadsheets/d/1SX6NBoVAgQJ6U1MVXOaj8PK2l7WJ3RER9xtqwdhxkhw/edit?usp=sharing"",""นครนายก!M497"")"),0)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IFERROR(__xludf.DUMMYFUNCTION("IMPORTRANGE(""https://docs.google.com/spreadsheets/d/1SX6NBoVAgQJ6U1MVXOaj8PK2l7WJ3RER9xtqwdhxkhw/edit?usp=sharing"",""นครนายก!M498"")"),0)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IFERROR(__xludf.DUMMYFUNCTION("IMPORTRANGE(""https://docs.google.com/spreadsheets/d/1SX6NBoVAgQJ6U1MVXOaj8PK2l7WJ3RER9xtqwdhxkhw/edit?usp=sharing"",""นครนายก!M499"")"),0)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IFERROR(__xludf.DUMMYFUNCTION("IMPORTRANGE(""https://docs.google.com/spreadsheets/d/1SX6NBoVAgQJ6U1MVXOaj8PK2l7WJ3RER9xtqwdhxkhw/edit?usp=sharing"",""นครนายก!M500"")"),0)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IFERROR(__xludf.DUMMYFUNCTION("IMPORTRANGE(""https://docs.google.com/spreadsheets/d/1SX6NBoVAgQJ6U1MVXOaj8PK2l7WJ3RER9xtqwdhxkhw/edit?usp=sharing"",""นครนายก!J502"")"),0)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IFERROR(__xludf.DUMMYFUNCTION("IMPORTRANGE(""https://docs.google.com/spreadsheets/d/1SX6NBoVAgQJ6U1MVXOaj8PK2l7WJ3RER9xtqwdhxkhw/edit?usp=sharing"",""นครนายก!J503"")"),1)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IFERROR(__xludf.DUMMYFUNCTION("IMPORTRANGE(""https://docs.google.com/spreadsheets/d/1SX6NBoVAgQJ6U1MVXOaj8PK2l7WJ3RER9xtqwdhxkhw/edit?usp=sharing"",""นครนายก!J166"")"),0)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IFERROR(__xludf.DUMMYFUNCTION("IMPORTRANGE(""https://docs.google.com/spreadsheets/d/1SX6NBoVAgQJ6U1MVXOaj8PK2l7WJ3RER9xtqwdhxkhw/edit?usp=sharing"",""นครนายก!J166"")"),0)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IFERROR(__xludf.DUMMYFUNCTION("IMPORTRANGE(""https://docs.google.com/spreadsheets/d/1SX6NBoVAgQJ6U1MVXOaj8PK2l7WJ3RER9xtqwdhxkhw/edit?usp=sharing"",""นครนายก!I506"")"),50)</f>
        <v>50</v>
      </c>
      <c r="J611" s="162">
        <f ca="1">IFERROR(__xludf.DUMMYFUNCTION("IMPORTRANGE(""https://docs.google.com/spreadsheets/d/1SX6NBoVAgQJ6U1MVXOaj8PK2l7WJ3RER9xtqwdhxkhw/edit?usp=sharing"",""นครนายก!J506"")"),0)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IFERROR(__xludf.DUMMYFUNCTION("IMPORTRANGE(""https://docs.google.com/spreadsheets/d/1SX6NBoVAgQJ6U1MVXOaj8PK2l7WJ3RER9xtqwdhxkhw/edit?usp=sharing"",""นครนายก!I507"")"),0)</f>
        <v>0</v>
      </c>
      <c r="J612" s="198">
        <f ca="1">IFERROR(__xludf.DUMMYFUNCTION("IMPORTRANGE(""https://docs.google.com/spreadsheets/d/1SX6NBoVAgQJ6U1MVXOaj8PK2l7WJ3RER9xtqwdhxkhw/edit?usp=sharing"",""นครนายก!J507"")"),0)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IFERROR(__xludf.DUMMYFUNCTION("IMPORTRANGE(""https://docs.google.com/spreadsheets/d/1SX6NBoVAgQJ6U1MVXOaj8PK2l7WJ3RER9xtqwdhxkhw/edit?usp=sharing"",""นครนายก!I508"")"),0)</f>
        <v>0</v>
      </c>
      <c r="J613" s="198">
        <f ca="1">IFERROR(__xludf.DUMMYFUNCTION("IMPORTRANGE(""https://docs.google.com/spreadsheets/d/1SX6NBoVAgQJ6U1MVXOaj8PK2l7WJ3RER9xtqwdhxkhw/edit?usp=sharing"",""นครนายก!J508"")"),0)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IFERROR(__xludf.DUMMYFUNCTION("IMPORTRANGE(""https://docs.google.com/spreadsheets/d/1SX6NBoVAgQJ6U1MVXOaj8PK2l7WJ3RER9xtqwdhxkhw/edit?usp=sharing"",""นครนายก!I509"")"),0)</f>
        <v>0</v>
      </c>
      <c r="J614" s="198">
        <f ca="1">IFERROR(__xludf.DUMMYFUNCTION("IMPORTRANGE(""https://docs.google.com/spreadsheets/d/1SX6NBoVAgQJ6U1MVXOaj8PK2l7WJ3RER9xtqwdhxkhw/edit?usp=sharing"",""นครนายก!J509"")"),0)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IFERROR(__xludf.DUMMYFUNCTION("IMPORTRANGE(""https://docs.google.com/spreadsheets/d/1SX6NBoVAgQJ6U1MVXOaj8PK2l7WJ3RER9xtqwdhxkhw/edit?usp=sharing"",""นครนายก!I510"")"),0)</f>
        <v>0</v>
      </c>
      <c r="J615" s="198">
        <f ca="1">IFERROR(__xludf.DUMMYFUNCTION("IMPORTRANGE(""https://docs.google.com/spreadsheets/d/1SX6NBoVAgQJ6U1MVXOaj8PK2l7WJ3RER9xtqwdhxkhw/edit?usp=sharing"",""นครนายก!J510"")"),0)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IFERROR(__xludf.DUMMYFUNCTION("IMPORTRANGE(""https://docs.google.com/spreadsheets/d/1SX6NBoVAgQJ6U1MVXOaj8PK2l7WJ3RER9xtqwdhxkhw/edit?usp=sharing"",""นครนายก!I511"")"),0)</f>
        <v>0</v>
      </c>
      <c r="J616" s="198">
        <f ca="1">IFERROR(__xludf.DUMMYFUNCTION("IMPORTRANGE(""https://docs.google.com/spreadsheets/d/1SX6NBoVAgQJ6U1MVXOaj8PK2l7WJ3RER9xtqwdhxkhw/edit?usp=sharing"",""นครนายก!J511"")"),0)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IFERROR(__xludf.DUMMYFUNCTION("IMPORTRANGE(""https://docs.google.com/spreadsheets/d/1SX6NBoVAgQJ6U1MVXOaj8PK2l7WJ3RER9xtqwdhxkhw/edit?usp=sharing"",""นครนายก!I512"")"),0)</f>
        <v>0</v>
      </c>
      <c r="J617" s="188">
        <f ca="1">IFERROR(__xludf.DUMMYFUNCTION("IMPORTRANGE(""https://docs.google.com/spreadsheets/d/1SX6NBoVAgQJ6U1MVXOaj8PK2l7WJ3RER9xtqwdhxkhw/edit?usp=sharing"",""นครนายก!J512"")"),0)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IFERROR(__xludf.DUMMYFUNCTION("IMPORTRANGE(""https://docs.google.com/spreadsheets/d/1SX6NBoVAgQJ6U1MVXOaj8PK2l7WJ3RER9xtqwdhxkhw/edit?usp=sharing"",""นครนายก!I513"")"),0)</f>
        <v>0</v>
      </c>
      <c r="J618" s="189">
        <f ca="1">IFERROR(__xludf.DUMMYFUNCTION("IMPORTRANGE(""https://docs.google.com/spreadsheets/d/1SX6NBoVAgQJ6U1MVXOaj8PK2l7WJ3RER9xtqwdhxkhw/edit?usp=sharing"",""นครนายก!J513"")"),0)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IFERROR(__xludf.DUMMYFUNCTION("IMPORTRANGE(""https://docs.google.com/spreadsheets/d/1SX6NBoVAgQJ6U1MVXOaj8PK2l7WJ3RER9xtqwdhxkhw/edit?usp=sharing"",""นครนายก!I514"")"),0)</f>
        <v>0</v>
      </c>
      <c r="J619" s="189">
        <f ca="1">IFERROR(__xludf.DUMMYFUNCTION("IMPORTRANGE(""https://docs.google.com/spreadsheets/d/1SX6NBoVAgQJ6U1MVXOaj8PK2l7WJ3RER9xtqwdhxkhw/edit?usp=sharing"",""นครนายก!J514"")"),0)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IFERROR(__xludf.DUMMYFUNCTION("IMPORTRANGE(""https://docs.google.com/spreadsheets/d/1SX6NBoVAgQJ6U1MVXOaj8PK2l7WJ3RER9xtqwdhxkhw/edit?usp=sharing"",""นครนายก!I515"")"),0)</f>
        <v>0</v>
      </c>
      <c r="J620" s="203">
        <f ca="1">IFERROR(__xludf.DUMMYFUNCTION("IMPORTRANGE(""https://docs.google.com/spreadsheets/d/1SX6NBoVAgQJ6U1MVXOaj8PK2l7WJ3RER9xtqwdhxkhw/edit?usp=sharing"",""นครนายก!J515"")"),0)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IFERROR(__xludf.DUMMYFUNCTION("IMPORTRANGE(""https://docs.google.com/spreadsheets/d/1SX6NBoVAgQJ6U1MVXOaj8PK2l7WJ3RER9xtqwdhxkhw/edit?usp=sharing"",""นครนายก!I516"")"),0)</f>
        <v>0</v>
      </c>
      <c r="J621" s="203">
        <f ca="1">IFERROR(__xludf.DUMMYFUNCTION("IMPORTRANGE(""https://docs.google.com/spreadsheets/d/1SX6NBoVAgQJ6U1MVXOaj8PK2l7WJ3RER9xtqwdhxkhw/edit?usp=sharing"",""นครนายก!J516"")"),0)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IFERROR(__xludf.DUMMYFUNCTION("IMPORTRANGE(""https://docs.google.com/spreadsheets/d/1SX6NBoVAgQJ6U1MVXOaj8PK2l7WJ3RER9xtqwdhxkhw/edit?usp=sharing"",""นครนายก!I517"")"),0)</f>
        <v>0</v>
      </c>
      <c r="J622" s="189">
        <f ca="1">IFERROR(__xludf.DUMMYFUNCTION("IMPORTRANGE(""https://docs.google.com/spreadsheets/d/1SX6NBoVAgQJ6U1MVXOaj8PK2l7WJ3RER9xtqwdhxkhw/edit?usp=sharing"",""นครนายก!J517"")"),0)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IFERROR(__xludf.DUMMYFUNCTION("IMPORTRANGE(""https://docs.google.com/spreadsheets/d/1SX6NBoVAgQJ6U1MVXOaj8PK2l7WJ3RER9xtqwdhxkhw/edit?usp=sharing"",""นครนายก!I518"")"),0)</f>
        <v>0</v>
      </c>
      <c r="J623" s="189">
        <f ca="1">IFERROR(__xludf.DUMMYFUNCTION("IMPORTRANGE(""https://docs.google.com/spreadsheets/d/1SX6NBoVAgQJ6U1MVXOaj8PK2l7WJ3RER9xtqwdhxkhw/edit?usp=sharing"",""นครนายก!J518"")"),0)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IFERROR(__xludf.DUMMYFUNCTION("IMPORTRANGE(""https://docs.google.com/spreadsheets/d/1SX6NBoVAgQJ6U1MVXOaj8PK2l7WJ3RER9xtqwdhxkhw/edit?usp=sharing"",""นครนายก!I519"")"),0)</f>
        <v>0</v>
      </c>
      <c r="J624" s="188">
        <f ca="1">IFERROR(__xludf.DUMMYFUNCTION("IMPORTRANGE(""https://docs.google.com/spreadsheets/d/1SX6NBoVAgQJ6U1MVXOaj8PK2l7WJ3RER9xtqwdhxkhw/edit?usp=sharing"",""นครนายก!J519"")"),0)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IFERROR(__xludf.DUMMYFUNCTION("IMPORTRANGE(""https://docs.google.com/spreadsheets/d/1SX6NBoVAgQJ6U1MVXOaj8PK2l7WJ3RER9xtqwdhxkhw/edit?usp=sharing"",""นครนายก!I520"")"),0)</f>
        <v>0</v>
      </c>
      <c r="J625" s="189">
        <f ca="1">IFERROR(__xludf.DUMMYFUNCTION("IMPORTRANGE(""https://docs.google.com/spreadsheets/d/1SX6NBoVAgQJ6U1MVXOaj8PK2l7WJ3RER9xtqwdhxkhw/edit?usp=sharing"",""นครนายก!J520"")"),0)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IFERROR(__xludf.DUMMYFUNCTION("IMPORTRANGE(""https://docs.google.com/spreadsheets/d/1SX6NBoVAgQJ6U1MVXOaj8PK2l7WJ3RER9xtqwdhxkhw/edit?usp=sharing"",""นครนายก!I521"")"),0)</f>
        <v>0</v>
      </c>
      <c r="J626" s="189">
        <f ca="1">IFERROR(__xludf.DUMMYFUNCTION("IMPORTRANGE(""https://docs.google.com/spreadsheets/d/1SX6NBoVAgQJ6U1MVXOaj8PK2l7WJ3RER9xtqwdhxkhw/edit?usp=sharing"",""นครนายก!J521"")"),0)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IFERROR(__xludf.DUMMYFUNCTION("IMPORTRANGE(""https://docs.google.com/spreadsheets/d/1SX6NBoVAgQJ6U1MVXOaj8PK2l7WJ3RER9xtqwdhxkhw/edit?usp=sharing"",""นครนายก!I523"")"),3031999.6)</f>
        <v>3031999.6</v>
      </c>
      <c r="J628" s="342">
        <f ca="1">IFERROR(__xludf.DUMMYFUNCTION("IMPORTRANGE(""https://docs.google.com/spreadsheets/d/1SX6NBoVAgQJ6U1MVXOaj8PK2l7WJ3RER9xtqwdhxkhw/edit?usp=sharing"",""นครนายก!J523"")"),1907708.14)</f>
        <v>1907708.14</v>
      </c>
      <c r="K628" s="343">
        <f t="shared" ref="K628:K635" ca="1" si="129">IF(I628&gt;0,J628*100/I628,0)</f>
        <v>62.919142205691585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IFERROR(__xludf.DUMMYFUNCTION("IMPORTRANGE(""https://docs.google.com/spreadsheets/d/1SX6NBoVAgQJ6U1MVXOaj8PK2l7WJ3RER9xtqwdhxkhw/edit?usp=sharing"",""นครนายก!I524"")"),113)</f>
        <v>113</v>
      </c>
      <c r="J629" s="342">
        <f ca="1">IFERROR(__xludf.DUMMYFUNCTION("IMPORTRANGE(""https://docs.google.com/spreadsheets/d/1SX6NBoVAgQJ6U1MVXOaj8PK2l7WJ3RER9xtqwdhxkhw/edit?usp=sharing"",""นครนายก!J524"")"),90)</f>
        <v>90</v>
      </c>
      <c r="K629" s="343">
        <f t="shared" ca="1" si="129"/>
        <v>79.646017699115049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IFERROR(__xludf.DUMMYFUNCTION("IMPORTRANGE(""https://docs.google.com/spreadsheets/d/1SX6NBoVAgQJ6U1MVXOaj8PK2l7WJ3RER9xtqwdhxkhw/edit?usp=sharing"",""นครนายก!I525"")"),3755607.57)</f>
        <v>3755607.57</v>
      </c>
      <c r="J630" s="342">
        <f ca="1">IFERROR(__xludf.DUMMYFUNCTION("IMPORTRANGE(""https://docs.google.com/spreadsheets/d/1SX6NBoVAgQJ6U1MVXOaj8PK2l7WJ3RER9xtqwdhxkhw/edit?usp=sharing"",""นครนายก!J525"")"),159747.03)</f>
        <v>159747.03</v>
      </c>
      <c r="K630" s="343">
        <f t="shared" ca="1" si="129"/>
        <v>4.2535602302026465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IFERROR(__xludf.DUMMYFUNCTION("IMPORTRANGE(""https://docs.google.com/spreadsheets/d/1SX6NBoVAgQJ6U1MVXOaj8PK2l7WJ3RER9xtqwdhxkhw/edit?usp=sharing"",""นครนายก!I526"")"),108)</f>
        <v>108</v>
      </c>
      <c r="J631" s="342">
        <f ca="1">IFERROR(__xludf.DUMMYFUNCTION("IMPORTRANGE(""https://docs.google.com/spreadsheets/d/1SX6NBoVAgQJ6U1MVXOaj8PK2l7WJ3RER9xtqwdhxkhw/edit?usp=sharing"",""นครนายก!J526"")"),20)</f>
        <v>20</v>
      </c>
      <c r="K631" s="343">
        <f t="shared" ca="1" si="129"/>
        <v>18.518518518518519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2">
        <f ca="1">IFERROR(__xludf.DUMMYFUNCTION("IMPORTRANGE(""https://docs.google.com/spreadsheets/d/1SX6NBoVAgQJ6U1MVXOaj8PK2l7WJ3RER9xtqwdhxkhw/edit?usp=sharing"",""นครนายก!J527"")"),3098616.26)</f>
        <v>3098616.26</v>
      </c>
      <c r="K632" s="343">
        <f t="shared" ca="1" si="129"/>
        <v>53.309711860764558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IFERROR(__xludf.DUMMYFUNCTION("IMPORTRANGE(""https://docs.google.com/spreadsheets/d/1SX6NBoVAgQJ6U1MVXOaj8PK2l7WJ3RER9xtqwdhxkhw/edit?usp=sharing"",""นครนายก!I528"")"),2019)</f>
        <v>2019</v>
      </c>
      <c r="J633" s="342">
        <f ca="1">IFERROR(__xludf.DUMMYFUNCTION("IMPORTRANGE(""https://docs.google.com/spreadsheets/d/1SX6NBoVAgQJ6U1MVXOaj8PK2l7WJ3RER9xtqwdhxkhw/edit?usp=sharing"",""นครนายก!J528"")"),1409)</f>
        <v>1409</v>
      </c>
      <c r="K633" s="343">
        <f t="shared" ca="1" si="129"/>
        <v>69.78702327885091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IFERROR(__xludf.DUMMYFUNCTION("IMPORTRANGE(""https://docs.google.com/spreadsheets/d/1SX6NBoVAgQJ6U1MVXOaj8PK2l7WJ3RER9xtqwdhxkhw/edit?usp=sharing"",""นครนายก!I529"")"),2220000)</f>
        <v>2220000</v>
      </c>
      <c r="J634" s="342">
        <f ca="1">IFERROR(__xludf.DUMMYFUNCTION("IMPORTRANGE(""https://docs.google.com/spreadsheets/d/1SX6NBoVAgQJ6U1MVXOaj8PK2l7WJ3RER9xtqwdhxkhw/edit?usp=sharing"",""นครนายก!J529"")"),2000000)</f>
        <v>2000000</v>
      </c>
      <c r="K634" s="343">
        <f t="shared" ca="1" si="129"/>
        <v>90.090090090090087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IFERROR(__xludf.DUMMYFUNCTION("IMPORTRANGE(""https://docs.google.com/spreadsheets/d/1SX6NBoVAgQJ6U1MVXOaj8PK2l7WJ3RER9xtqwdhxkhw/edit?usp=sharing"",""นครนายก!I530"")"),68)</f>
        <v>68</v>
      </c>
      <c r="J635" s="505">
        <f ca="1">IFERROR(__xludf.DUMMYFUNCTION("IMPORTRANGE(""https://docs.google.com/spreadsheets/d/1SX6NBoVAgQJ6U1MVXOaj8PK2l7WJ3RER9xtqwdhxkhw/edit?usp=sharing"",""นครนายก!J530"")"),67)</f>
        <v>67</v>
      </c>
      <c r="K635" s="487">
        <f t="shared" ca="1" si="129"/>
        <v>98.529411764705884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66030</v>
      </c>
      <c r="M636" s="512"/>
      <c r="N636" s="511">
        <f ca="1">SUM(N637:N638)</f>
        <v>24090</v>
      </c>
      <c r="O636" s="511">
        <f t="shared" ref="O636:O640" ca="1" si="130">+IF(L636&gt;0,N636*100/L636,0)</f>
        <v>36.483416628805088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66030</v>
      </c>
      <c r="M638" s="522"/>
      <c r="N638" s="523">
        <f ca="1">SUM(N639:N640)</f>
        <v>24090</v>
      </c>
      <c r="O638" s="523">
        <f t="shared" ca="1" si="130"/>
        <v>36.483416628805088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66030</v>
      </c>
      <c r="M640" s="522"/>
      <c r="N640" s="523">
        <f ca="1">SUM(N641:N644)</f>
        <v>24090</v>
      </c>
      <c r="O640" s="523">
        <f t="shared" ca="1" si="130"/>
        <v>36.483416628805088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24090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IFERROR(__xludf.DUMMYFUNCTION("IMPORTRANGE(""https://docs.google.com/spreadsheets/d/1SX6NBoVAgQJ6U1MVXOaj8PK2l7WJ3RER9xtqwdhxkhw/edit#gid=346597447"",""นครนายก!J541"")"),0)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IFERROR(__xludf.DUMMYFUNCTION("IMPORTRANGE(""https://docs.google.com/spreadsheets/d/1SX6NBoVAgQJ6U1MVXOaj8PK2l7WJ3RER9xtqwdhxkhw/edit#gid=346597447"",""นครนายก!J542"")"),0)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IFERROR(__xludf.DUMMYFUNCTION("IMPORTRANGE(""https://docs.google.com/spreadsheets/d/1SX6NBoVAgQJ6U1MVXOaj8PK2l7WJ3RER9xtqwdhxkhw/edit#gid=346597447"",""นครนายก!I543"")"),0)</f>
        <v>0</v>
      </c>
      <c r="J648" s="537">
        <f ca="1">IFERROR(__xludf.DUMMYFUNCTION("IMPORTRANGE(""https://docs.google.com/spreadsheets/d/1SX6NBoVAgQJ6U1MVXOaj8PK2l7WJ3RER9xtqwdhxkhw/edit#gid=346597447"",""นครนายก!J543"")"),0)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IFERROR(__xludf.DUMMYFUNCTION("IMPORTRANGE(""https://docs.google.com/spreadsheets/d/1SX6NBoVAgQJ6U1MVXOaj8PK2l7WJ3RER9xtqwdhxkhw/edit#gid=346597447"",""นครนายก!L543"")"),0)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IFERROR(__xludf.DUMMYFUNCTION("IMPORTRANGE(""https://docs.google.com/spreadsheets/d/1SX6NBoVAgQJ6U1MVXOaj8PK2l7WJ3RER9xtqwdhxkhw/edit#gid=346597447"",""นครนายก!M543"")"),0)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IFERROR(__xludf.DUMMYFUNCTION("IMPORTRANGE(""https://docs.google.com/spreadsheets/d/1SX6NBoVAgQJ6U1MVXOaj8PK2l7WJ3RER9xtqwdhxkhw/edit#gid=346597447"",""นครนายก!I544"")"),5)</f>
        <v>5</v>
      </c>
      <c r="J649" s="537">
        <f ca="1">IFERROR(__xludf.DUMMYFUNCTION("IMPORTRANGE(""https://docs.google.com/spreadsheets/d/1SX6NBoVAgQJ6U1MVXOaj8PK2l7WJ3RER9xtqwdhxkhw/edit#gid=346597447"",""นครนายก!J544"")"),0)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IFERROR(__xludf.DUMMYFUNCTION("IMPORTRANGE(""https://docs.google.com/spreadsheets/d/1SX6NBoVAgQJ6U1MVXOaj8PK2l7WJ3RER9xtqwdhxkhw/edit#gid=346597447"",""นครนายก!L544"")"),600)</f>
        <v>600</v>
      </c>
      <c r="M649" s="522"/>
      <c r="N649" s="539">
        <f ca="1">IFERROR(__xludf.DUMMYFUNCTION("IMPORTRANGE(""https://docs.google.com/spreadsheets/d/1SX6NBoVAgQJ6U1MVXOaj8PK2l7WJ3RER9xtqwdhxkhw/edit#gid=346597447"",""นครนายก!M544"")"),0)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IFERROR(__xludf.DUMMYFUNCTION("IMPORTRANGE(""https://docs.google.com/spreadsheets/d/1SX6NBoVAgQJ6U1MVXOaj8PK2l7WJ3RER9xtqwdhxkhw/edit#gid=346597447"",""นครนายก!I545"")"),1000)</f>
        <v>1000</v>
      </c>
      <c r="J650" s="537">
        <f ca="1">IFERROR(__xludf.DUMMYFUNCTION("IMPORTRANGE(""https://docs.google.com/spreadsheets/d/1SX6NBoVAgQJ6U1MVXOaj8PK2l7WJ3RER9xtqwdhxkhw/edit#gid=346597447"",""นครนายก!J545"")"),0)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IFERROR(__xludf.DUMMYFUNCTION("IMPORTRANGE(""https://docs.google.com/spreadsheets/d/1SX6NBoVAgQJ6U1MVXOaj8PK2l7WJ3RER9xtqwdhxkhw/edit#gid=346597447"",""นครนายก!L545"")"),5000)</f>
        <v>5000</v>
      </c>
      <c r="M650" s="522"/>
      <c r="N650" s="539">
        <f ca="1">IFERROR(__xludf.DUMMYFUNCTION("IMPORTRANGE(""https://docs.google.com/spreadsheets/d/1SX6NBoVAgQJ6U1MVXOaj8PK2l7WJ3RER9xtqwdhxkhw/edit#gid=346597447"",""นครนายก!M545"")"),0)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IFERROR(__xludf.DUMMYFUNCTION("IMPORTRANGE(""https://docs.google.com/spreadsheets/d/1SX6NBoVAgQJ6U1MVXOaj8PK2l7WJ3RER9xtqwdhxkhw/edit#gid=346597447"",""นครนายก!I546"")"),350)</f>
        <v>350</v>
      </c>
      <c r="J651" s="537">
        <f ca="1">J657+J660</f>
        <v>152</v>
      </c>
      <c r="K651" s="538">
        <f t="shared" ca="1" si="131"/>
        <v>43.428571428571431</v>
      </c>
      <c r="L651" s="523">
        <f ca="1">IFERROR(__xludf.DUMMYFUNCTION("IMPORTRANGE(""https://docs.google.com/spreadsheets/d/1SX6NBoVAgQJ6U1MVXOaj8PK2l7WJ3RER9xtqwdhxkhw/edit#gid=346597447"",""นครนายก!L546"")"),8750)</f>
        <v>8750</v>
      </c>
      <c r="M651" s="522"/>
      <c r="N651" s="539">
        <f ca="1">IFERROR(__xludf.DUMMYFUNCTION("IMPORTRANGE(""https://docs.google.com/spreadsheets/d/1SX6NBoVAgQJ6U1MVXOaj8PK2l7WJ3RER9xtqwdhxkhw/edit#gid=346597447"",""นครนายก!M546"")"),3060)</f>
        <v>3060</v>
      </c>
      <c r="O651" s="538">
        <f t="shared" ca="1" si="132"/>
        <v>34.971428571428568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IFERROR(__xludf.DUMMYFUNCTION("IMPORTRANGE(""https://docs.google.com/spreadsheets/d/1SX6NBoVAgQJ6U1MVXOaj8PK2l7WJ3RER9xtqwdhxkhw/edit#gid=346597447"",""นครนายก!J547"")"),0)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IFERROR(__xludf.DUMMYFUNCTION("IMPORTRANGE(""https://docs.google.com/spreadsheets/d/1SX6NBoVAgQJ6U1MVXOaj8PK2l7WJ3RER9xtqwdhxkhw/edit#gid=346597447"",""นครนายก!J548"")"),0)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IFERROR(__xludf.DUMMYFUNCTION("IMPORTRANGE(""https://docs.google.com/spreadsheets/d/1SX6NBoVAgQJ6U1MVXOaj8PK2l7WJ3RER9xtqwdhxkhw/edit#gid=346597447"",""นครนายก!J550"")"),0)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IFERROR(__xludf.DUMMYFUNCTION("IMPORTRANGE(""https://docs.google.com/spreadsheets/d/1SX6NBoVAgQJ6U1MVXOaj8PK2l7WJ3RER9xtqwdhxkhw/edit#gid=346597447"",""นครนายก!J551"")"),0)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IFERROR(__xludf.DUMMYFUNCTION("IMPORTRANGE(""https://docs.google.com/spreadsheets/d/1SX6NBoVAgQJ6U1MVXOaj8PK2l7WJ3RER9xtqwdhxkhw/edit#gid=346597447"",""นครนายก!J552"")"),0)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IFERROR(__xludf.DUMMYFUNCTION("IMPORTRANGE(""https://docs.google.com/spreadsheets/d/1SX6NBoVAgQJ6U1MVXOaj8PK2l7WJ3RER9xtqwdhxkhw/edit#gid=346597447"",""นครนายก!J553"")"),16)</f>
        <v>16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IFERROR(__xludf.DUMMYFUNCTION("IMPORTRANGE(""https://docs.google.com/spreadsheets/d/1SX6NBoVAgQJ6U1MVXOaj8PK2l7WJ3RER9xtqwdhxkhw/edit#gid=346597447"",""นครนายก!J554"")"),16)</f>
        <v>16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IFERROR(__xludf.DUMMYFUNCTION("IMPORTRANGE(""https://docs.google.com/spreadsheets/d/1SX6NBoVAgQJ6U1MVXOaj8PK2l7WJ3RER9xtqwdhxkhw/edit#gid=346597447"",""นครนายก!J555"")"),152)</f>
        <v>152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IFERROR(__xludf.DUMMYFUNCTION("IMPORTRANGE(""https://docs.google.com/spreadsheets/d/1SX6NBoVAgQJ6U1MVXOaj8PK2l7WJ3RER9xtqwdhxkhw/edit#gid=346597447"",""นครนายก!J556"")"),0)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IFERROR(__xludf.DUMMYFUNCTION("IMPORTRANGE(""https://docs.google.com/spreadsheets/d/1SX6NBoVAgQJ6U1MVXOaj8PK2l7WJ3RER9xtqwdhxkhw/edit#gid=346597447"",""นครนายก!L556"")"),14000)</f>
        <v>14000</v>
      </c>
      <c r="M661" s="522"/>
      <c r="N661" s="539">
        <f ca="1">IFERROR(__xludf.DUMMYFUNCTION("IMPORTRANGE(""https://docs.google.com/spreadsheets/d/1SX6NBoVAgQJ6U1MVXOaj8PK2l7WJ3RER9xtqwdhxkhw/edit#gid=346597447"",""นครนายก!M556"")"),0)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IFERROR(__xludf.DUMMYFUNCTION("IMPORTRANGE(""https://docs.google.com/spreadsheets/d/1SX6NBoVAgQJ6U1MVXOaj8PK2l7WJ3RER9xtqwdhxkhw/edit#gid=346597447"",""นครนายก!J557"")"),0)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IFERROR(__xludf.DUMMYFUNCTION("IMPORTRANGE(""https://docs.google.com/spreadsheets/d/1SX6NBoVAgQJ6U1MVXOaj8PK2l7WJ3RER9xtqwdhxkhw/edit#gid=346597447"",""นครนายก!I558"")"),350)</f>
        <v>350</v>
      </c>
      <c r="J663" s="537">
        <f ca="1">IFERROR(__xludf.DUMMYFUNCTION("IMPORTRANGE(""https://docs.google.com/spreadsheets/d/1SX6NBoVAgQJ6U1MVXOaj8PK2l7WJ3RER9xtqwdhxkhw/edit#gid=346597447"",""นครนายก!J558"")"),0)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IFERROR(__xludf.DUMMYFUNCTION("IMPORTRANGE(""https://docs.google.com/spreadsheets/d/1SX6NBoVAgQJ6U1MVXOaj8PK2l7WJ3RER9xtqwdhxkhw/edit#gid=346597447"",""นครนายก!I560"")"),31)</f>
        <v>31</v>
      </c>
      <c r="J665" s="537">
        <f ca="1">IFERROR(__xludf.DUMMYFUNCTION("IMPORTRANGE(""https://docs.google.com/spreadsheets/d/1SX6NBoVAgQJ6U1MVXOaj8PK2l7WJ3RER9xtqwdhxkhw/edit#gid=346597447"",""นครนายก!J560"")"),0)</f>
        <v>0</v>
      </c>
      <c r="K665" s="538">
        <f ca="1">IF(I665&gt;0,J665*100/I665,0)</f>
        <v>0</v>
      </c>
      <c r="L665" s="523">
        <f ca="1">IFERROR(__xludf.DUMMYFUNCTION("IMPORTRANGE(""https://docs.google.com/spreadsheets/d/1SX6NBoVAgQJ6U1MVXOaj8PK2l7WJ3RER9xtqwdhxkhw/edit#gid=346597447"",""นครนายก!L560"")"),3720)</f>
        <v>3720</v>
      </c>
      <c r="M665" s="522"/>
      <c r="N665" s="539">
        <f ca="1">IFERROR(__xludf.DUMMYFUNCTION("IMPORTRANGE(""https://docs.google.com/spreadsheets/d/1SX6NBoVAgQJ6U1MVXOaj8PK2l7WJ3RER9xtqwdhxkhw/edit#gid=346597447"",""นครนายก!M560"")"),620)</f>
        <v>620</v>
      </c>
      <c r="O665" s="538">
        <f ca="1">IF(L665&gt;0,N665*100/L665,0)</f>
        <v>16.666666666666668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IFERROR(__xludf.DUMMYFUNCTION("IMPORTRANGE(""https://docs.google.com/spreadsheets/d/1SX6NBoVAgQJ6U1MVXOaj8PK2l7WJ3RER9xtqwdhxkhw/edit#gid=346597447"",""นครนายก!J561"")"),0)</f>
        <v>0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IFERROR(__xludf.DUMMYFUNCTION("IMPORTRANGE(""https://docs.google.com/spreadsheets/d/1SX6NBoVAgQJ6U1MVXOaj8PK2l7WJ3RER9xtqwdhxkhw/edit#gid=346597447"",""นครนายก!J562"")"),0)</f>
        <v>0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IFERROR(__xludf.DUMMYFUNCTION("IMPORTRANGE(""https://docs.google.com/spreadsheets/d/1SX6NBoVAgQJ6U1MVXOaj8PK2l7WJ3RER9xtqwdhxkhw/edit#gid=346597447"",""นครนายก!I563"")"),31)</f>
        <v>31</v>
      </c>
      <c r="J668" s="537">
        <f ca="1">IFERROR(__xludf.DUMMYFUNCTION("IMPORTRANGE(""https://docs.google.com/spreadsheets/d/1SX6NBoVAgQJ6U1MVXOaj8PK2l7WJ3RER9xtqwdhxkhw/edit#gid=346597447"",""นครนายก!J563"")"),0)</f>
        <v>0</v>
      </c>
      <c r="K668" s="538">
        <f ca="1">IF(I668&gt;0,J668*100/I668,0)</f>
        <v>0</v>
      </c>
      <c r="L668" s="523">
        <f ca="1">IFERROR(__xludf.DUMMYFUNCTION("IMPORTRANGE(""https://docs.google.com/spreadsheets/d/1SX6NBoVAgQJ6U1MVXOaj8PK2l7WJ3RER9xtqwdhxkhw/edit#gid=346597447"",""นครนายก!L563"")"),17480)</f>
        <v>17480</v>
      </c>
      <c r="M668" s="522"/>
      <c r="N668" s="539">
        <f ca="1">IFERROR(__xludf.DUMMYFUNCTION("IMPORTRANGE(""https://docs.google.com/spreadsheets/d/1SX6NBoVAgQJ6U1MVXOaj8PK2l7WJ3RER9xtqwdhxkhw/edit#gid=346597447"",""นครนายก!M563"")"),9600)</f>
        <v>9600</v>
      </c>
      <c r="O668" s="538">
        <f ca="1">IF(L668&gt;0,N668*100/L668,0)</f>
        <v>54.919908466819223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IFERROR(__xludf.DUMMYFUNCTION("IMPORTRANGE(""https://docs.google.com/spreadsheets/d/1SX6NBoVAgQJ6U1MVXOaj8PK2l7WJ3RER9xtqwdhxkhw/edit#gid=346597447"",""นครนายก!J564"")"),0)</f>
        <v>0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IFERROR(__xludf.DUMMYFUNCTION("IMPORTRANGE(""https://docs.google.com/spreadsheets/d/1SX6NBoVAgQJ6U1MVXOaj8PK2l7WJ3RER9xtqwdhxkhw/edit#gid=346597447"",""นครนายก!J565"")"),0)</f>
        <v>0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IFERROR(__xludf.DUMMYFUNCTION("IMPORTRANGE(""https://docs.google.com/spreadsheets/d/1SX6NBoVAgQJ6U1MVXOaj8PK2l7WJ3RER9xtqwdhxkhw/edit#gid=346597447"",""นครนายก!I566"")"),206)</f>
        <v>206</v>
      </c>
      <c r="J671" s="537">
        <f ca="1">J674+J677</f>
        <v>206</v>
      </c>
      <c r="K671" s="538">
        <f ca="1">IF(I671&gt;0,J671*100/I671,0)</f>
        <v>100</v>
      </c>
      <c r="L671" s="523">
        <f ca="1">IFERROR(__xludf.DUMMYFUNCTION("IMPORTRANGE(""https://docs.google.com/spreadsheets/d/1SX6NBoVAgQJ6U1MVXOaj8PK2l7WJ3RER9xtqwdhxkhw/edit#gid=346597447"",""นครนายก!L566"")"),16480)</f>
        <v>16480</v>
      </c>
      <c r="M671" s="522"/>
      <c r="N671" s="539">
        <f ca="1">IFERROR(__xludf.DUMMYFUNCTION("IMPORTRANGE(""https://docs.google.com/spreadsheets/d/1SX6NBoVAgQJ6U1MVXOaj8PK2l7WJ3RER9xtqwdhxkhw/edit#gid=346597447"",""นครนายก!M566"")"),10810)</f>
        <v>10810</v>
      </c>
      <c r="O671" s="538">
        <f ca="1">IF(L671&gt;0,N671*100/L671,0)</f>
        <v>65.59466019417475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IFERROR(__xludf.DUMMYFUNCTION("IMPORTRANGE(""https://docs.google.com/spreadsheets/d/1SX6NBoVAgQJ6U1MVXOaj8PK2l7WJ3RER9xtqwdhxkhw/edit#gid=346597447"",""นครนายก!J567"")"),12)</f>
        <v>12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IFERROR(__xludf.DUMMYFUNCTION("IMPORTRANGE(""https://docs.google.com/spreadsheets/d/1SX6NBoVAgQJ6U1MVXOaj8PK2l7WJ3RER9xtqwdhxkhw/edit#gid=346597447"",""นครนายก!J568"")"),0)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IFERROR(__xludf.DUMMYFUNCTION("IMPORTRANGE(""https://docs.google.com/spreadsheets/d/1SX6NBoVAgQJ6U1MVXOaj8PK2l7WJ3RER9xtqwdhxkhw/edit#gid=346597447"",""นครนายก!J569"")"),10)</f>
        <v>10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IFERROR(__xludf.DUMMYFUNCTION("IMPORTRANGE(""https://docs.google.com/spreadsheets/d/1SX6NBoVAgQJ6U1MVXOaj8PK2l7WJ3RER9xtqwdhxkhw/edit#gid=346597447"",""นครนายก!J570"")"),0)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IFERROR(__xludf.DUMMYFUNCTION("IMPORTRANGE(""https://docs.google.com/spreadsheets/d/1SX6NBoVAgQJ6U1MVXOaj8PK2l7WJ3RER9xtqwdhxkhw/edit#gid=346597447"",""นครนายก!J571"")"),0)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IFERROR(__xludf.DUMMYFUNCTION("IMPORTRANGE(""https://docs.google.com/spreadsheets/d/1SX6NBoVAgQJ6U1MVXOaj8PK2l7WJ3RER9xtqwdhxkhw/edit#gid=346597447"",""นครนายก!J572"")"),196)</f>
        <v>196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 x14ac:dyDescent="0.25">
      <c r="A1" s="576" t="s">
        <v>0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</row>
    <row r="2" spans="1:16" ht="18" customHeight="1" x14ac:dyDescent="0.25">
      <c r="A2" s="576" t="s">
        <v>274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6"/>
      <c r="P2" s="576"/>
    </row>
    <row r="3" spans="1:16" ht="18" customHeight="1" x14ac:dyDescent="0.25">
      <c r="A3" s="576" t="s">
        <v>302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</row>
    <row r="4" spans="1:16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2" t="s">
        <v>2</v>
      </c>
      <c r="B5" s="583"/>
      <c r="C5" s="583"/>
      <c r="D5" s="583"/>
      <c r="E5" s="583"/>
      <c r="F5" s="583"/>
      <c r="G5" s="584"/>
      <c r="H5" s="577" t="s">
        <v>3</v>
      </c>
      <c r="I5" s="579" t="s">
        <v>4</v>
      </c>
      <c r="J5" s="570"/>
      <c r="K5" s="571"/>
      <c r="L5" s="580" t="s">
        <v>5</v>
      </c>
      <c r="M5" s="571"/>
      <c r="N5" s="581" t="s">
        <v>6</v>
      </c>
      <c r="O5" s="570"/>
      <c r="P5" s="571"/>
    </row>
    <row r="6" spans="1:16" ht="21.75" customHeight="1" x14ac:dyDescent="0.25">
      <c r="A6" s="585"/>
      <c r="B6" s="586"/>
      <c r="C6" s="586"/>
      <c r="D6" s="586"/>
      <c r="E6" s="586"/>
      <c r="F6" s="586"/>
      <c r="G6" s="587"/>
      <c r="H6" s="57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5" t="s">
        <v>15</v>
      </c>
      <c r="B7" s="570"/>
      <c r="C7" s="570"/>
      <c r="D7" s="570"/>
      <c r="E7" s="570"/>
      <c r="F7" s="570"/>
      <c r="G7" s="57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4" t="s">
        <v>17</v>
      </c>
      <c r="E8" s="563"/>
      <c r="F8" s="563"/>
      <c r="G8" s="563"/>
      <c r="H8" s="20" t="s">
        <v>12</v>
      </c>
      <c r="I8" s="21"/>
      <c r="J8" s="21"/>
      <c r="K8" s="22"/>
      <c r="L8" s="23">
        <f t="shared" ref="L8:N8" ca="1" si="0">L9+L10</f>
        <v>2443805</v>
      </c>
      <c r="M8" s="23">
        <f t="shared" ca="1" si="0"/>
        <v>2148877</v>
      </c>
      <c r="N8" s="23">
        <f t="shared" ca="1" si="0"/>
        <v>1998981.81</v>
      </c>
      <c r="O8" s="22">
        <f t="shared" ref="O8:O16" ca="1" si="1">IF(L8&gt;0,N8*100/L8,0)</f>
        <v>81.797926184781517</v>
      </c>
      <c r="P8" s="22">
        <f t="shared" ref="P8:P16" ca="1" si="2">IF(M8&gt;0,N8*100/M8,0)</f>
        <v>93.024487208900283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2443805</v>
      </c>
      <c r="M10" s="30">
        <f t="shared" ca="1" si="4"/>
        <v>2148877</v>
      </c>
      <c r="N10" s="30">
        <f t="shared" ca="1" si="4"/>
        <v>1998981.81</v>
      </c>
      <c r="O10" s="29">
        <f t="shared" ca="1" si="1"/>
        <v>81.797926184781517</v>
      </c>
      <c r="P10" s="29">
        <f t="shared" ca="1" si="2"/>
        <v>93.024487208900283</v>
      </c>
    </row>
    <row r="11" spans="1:16" ht="21.75" customHeight="1" x14ac:dyDescent="0.3">
      <c r="A11" s="31"/>
      <c r="B11" s="32"/>
      <c r="C11" s="33" t="s">
        <v>16</v>
      </c>
      <c r="D11" s="568" t="s">
        <v>20</v>
      </c>
      <c r="E11" s="565"/>
      <c r="F11" s="56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2296805</v>
      </c>
      <c r="M12" s="38">
        <f t="shared" ca="1" si="6"/>
        <v>2001877</v>
      </c>
      <c r="N12" s="38">
        <f t="shared" ca="1" si="6"/>
        <v>1856431.81</v>
      </c>
      <c r="O12" s="38">
        <f t="shared" ca="1" si="1"/>
        <v>80.826705358095268</v>
      </c>
      <c r="P12" s="38">
        <f t="shared" ca="1" si="2"/>
        <v>92.734559116269381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1468000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828805</v>
      </c>
      <c r="M14" s="38">
        <f t="shared" si="8"/>
        <v>0</v>
      </c>
      <c r="N14" s="38">
        <f t="shared" ca="1" si="8"/>
        <v>315147.36</v>
      </c>
      <c r="O14" s="38">
        <f t="shared" ca="1" si="1"/>
        <v>38.024307285790989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68" t="s">
        <v>23</v>
      </c>
      <c r="E15" s="56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147000</v>
      </c>
      <c r="M16" s="38">
        <f t="shared" ca="1" si="10"/>
        <v>147000</v>
      </c>
      <c r="N16" s="38">
        <f t="shared" ca="1" si="10"/>
        <v>142550</v>
      </c>
      <c r="O16" s="49">
        <f t="shared" ca="1" si="1"/>
        <v>96.972789115646265</v>
      </c>
      <c r="P16" s="49">
        <f t="shared" ca="1" si="2"/>
        <v>96.972789115646265</v>
      </c>
    </row>
    <row r="17" spans="1:16" ht="21.75" customHeight="1" x14ac:dyDescent="0.3">
      <c r="A17" s="575" t="s">
        <v>24</v>
      </c>
      <c r="B17" s="570"/>
      <c r="C17" s="570"/>
      <c r="D17" s="570"/>
      <c r="E17" s="570"/>
      <c r="F17" s="570"/>
      <c r="G17" s="57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4" t="s">
        <v>17</v>
      </c>
      <c r="E18" s="563"/>
      <c r="F18" s="563"/>
      <c r="G18" s="563"/>
      <c r="H18" s="20" t="s">
        <v>12</v>
      </c>
      <c r="I18" s="21"/>
      <c r="J18" s="21"/>
      <c r="K18" s="22"/>
      <c r="L18" s="23">
        <f t="shared" ref="L18:N18" ca="1" si="11">L19+L20</f>
        <v>2071605</v>
      </c>
      <c r="M18" s="23">
        <f t="shared" ca="1" si="11"/>
        <v>2148877</v>
      </c>
      <c r="N18" s="23">
        <f t="shared" ca="1" si="11"/>
        <v>1683834.45</v>
      </c>
      <c r="O18" s="22">
        <f t="shared" ref="O18:O20" ca="1" si="12">IF(L18&gt;0,N18*100/L18,0)</f>
        <v>81.281636701977448</v>
      </c>
      <c r="P18" s="22">
        <f t="shared" ref="P18:P26" ca="1" si="13">IF(M18&gt;0,N18*100/M18,0)</f>
        <v>78.358810206447373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2071605</v>
      </c>
      <c r="M20" s="30">
        <f t="shared" ca="1" si="15"/>
        <v>2148877</v>
      </c>
      <c r="N20" s="30">
        <f t="shared" ca="1" si="15"/>
        <v>1683834.45</v>
      </c>
      <c r="O20" s="29">
        <f t="shared" ca="1" si="12"/>
        <v>81.281636701977448</v>
      </c>
      <c r="P20" s="29">
        <f t="shared" ca="1" si="13"/>
        <v>78.358810206447373</v>
      </c>
    </row>
    <row r="21" spans="1:16" ht="21.75" customHeight="1" x14ac:dyDescent="0.3">
      <c r="A21" s="31"/>
      <c r="B21" s="32"/>
      <c r="C21" s="33" t="s">
        <v>16</v>
      </c>
      <c r="D21" s="568" t="s">
        <v>20</v>
      </c>
      <c r="E21" s="565"/>
      <c r="F21" s="565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1924605</v>
      </c>
      <c r="M22" s="41">
        <f t="shared" ca="1" si="18"/>
        <v>2001877</v>
      </c>
      <c r="N22" s="38">
        <f t="shared" ca="1" si="18"/>
        <v>1541284.45</v>
      </c>
      <c r="O22" s="38">
        <f t="shared" ca="1" si="17"/>
        <v>80.083157323190989</v>
      </c>
      <c r="P22" s="38">
        <f t="shared" ca="1" si="13"/>
        <v>76.991965540340388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1468000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456605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68" t="s">
        <v>23</v>
      </c>
      <c r="E25" s="565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147000</v>
      </c>
      <c r="M26" s="49">
        <f t="shared" ca="1" si="22"/>
        <v>147000</v>
      </c>
      <c r="N26" s="49">
        <f t="shared" ca="1" si="22"/>
        <v>142550</v>
      </c>
      <c r="O26" s="49">
        <f t="shared" ca="1" si="17"/>
        <v>96.972789115646265</v>
      </c>
      <c r="P26" s="49">
        <f t="shared" ca="1" si="13"/>
        <v>96.972789115646265</v>
      </c>
    </row>
    <row r="27" spans="1:16" ht="21.75" customHeight="1" x14ac:dyDescent="0.3">
      <c r="A27" s="575" t="s">
        <v>25</v>
      </c>
      <c r="B27" s="570"/>
      <c r="C27" s="570"/>
      <c r="D27" s="570"/>
      <c r="E27" s="570"/>
      <c r="F27" s="570"/>
      <c r="G27" s="57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4" t="s">
        <v>17</v>
      </c>
      <c r="E28" s="563"/>
      <c r="F28" s="563"/>
      <c r="G28" s="563"/>
      <c r="H28" s="20" t="s">
        <v>12</v>
      </c>
      <c r="I28" s="21"/>
      <c r="J28" s="21"/>
      <c r="K28" s="22"/>
      <c r="L28" s="23">
        <f t="shared" ref="L28:N28" ca="1" si="23">L29+L30</f>
        <v>372200</v>
      </c>
      <c r="M28" s="23">
        <f t="shared" si="23"/>
        <v>0</v>
      </c>
      <c r="N28" s="23">
        <f t="shared" ca="1" si="23"/>
        <v>315147.36</v>
      </c>
      <c r="O28" s="22">
        <f t="shared" ref="O28:O30" ca="1" si="24">IF(L28&gt;0,N28*100/L28,0)</f>
        <v>84.671509940891994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372200</v>
      </c>
      <c r="M30" s="30">
        <f t="shared" si="27"/>
        <v>0</v>
      </c>
      <c r="N30" s="30">
        <f t="shared" ca="1" si="27"/>
        <v>315147.36</v>
      </c>
      <c r="O30" s="29">
        <f t="shared" ca="1" si="24"/>
        <v>84.671509940891994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68" t="s">
        <v>20</v>
      </c>
      <c r="E31" s="565"/>
      <c r="F31" s="565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372200</v>
      </c>
      <c r="M32" s="38">
        <f t="shared" si="30"/>
        <v>0</v>
      </c>
      <c r="N32" s="38">
        <f t="shared" ca="1" si="30"/>
        <v>315147.36</v>
      </c>
      <c r="O32" s="38">
        <f t="shared" ca="1" si="29"/>
        <v>84.671509940891994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372200</v>
      </c>
      <c r="M34" s="38">
        <f t="shared" si="32"/>
        <v>0</v>
      </c>
      <c r="N34" s="38">
        <f t="shared" ca="1" si="32"/>
        <v>315147.36</v>
      </c>
      <c r="O34" s="38">
        <f t="shared" ca="1" si="29"/>
        <v>84.671509940891994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68" t="s">
        <v>23</v>
      </c>
      <c r="E35" s="565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2071605</v>
      </c>
      <c r="M37" s="54">
        <f t="shared" ca="1" si="33"/>
        <v>2148877</v>
      </c>
      <c r="N37" s="54">
        <f t="shared" ca="1" si="33"/>
        <v>1683834.45</v>
      </c>
      <c r="O37" s="55">
        <f t="shared" ca="1" si="29"/>
        <v>81.281636701977448</v>
      </c>
      <c r="P37" s="55">
        <f t="shared" ca="1" si="25"/>
        <v>78.358810206447373</v>
      </c>
    </row>
    <row r="38" spans="1:16" ht="21.75" customHeight="1" x14ac:dyDescent="0.3">
      <c r="A38" s="569" t="s">
        <v>27</v>
      </c>
      <c r="B38" s="570"/>
      <c r="C38" s="570"/>
      <c r="D38" s="570"/>
      <c r="E38" s="570"/>
      <c r="F38" s="570"/>
      <c r="G38" s="571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572" t="s">
        <v>28</v>
      </c>
      <c r="C39" s="563"/>
      <c r="D39" s="563"/>
      <c r="E39" s="563"/>
      <c r="F39" s="563"/>
      <c r="G39" s="563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573" t="s">
        <v>17</v>
      </c>
      <c r="E41" s="565"/>
      <c r="F41" s="565"/>
      <c r="G41" s="565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563300</v>
      </c>
      <c r="N41" s="78">
        <f t="shared" ca="1" si="34"/>
        <v>451085.99</v>
      </c>
      <c r="O41" s="77">
        <f t="shared" ref="O41:O43" ca="1" si="35">IF(L41&gt;0,N41*100/L41,0)</f>
        <v>80.079174507367298</v>
      </c>
      <c r="P41" s="77">
        <f t="shared" ref="P41:P43" ca="1" si="36">IF(M41&gt;0,N41*100/M41,0)</f>
        <v>80.079174507367298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563300</v>
      </c>
      <c r="N43" s="78">
        <f t="shared" ca="1" si="38"/>
        <v>451085.99</v>
      </c>
      <c r="O43" s="77">
        <f t="shared" ca="1" si="35"/>
        <v>80.079174507367298</v>
      </c>
      <c r="P43" s="77">
        <f t="shared" ca="1" si="36"/>
        <v>80.079174507367298</v>
      </c>
    </row>
    <row r="44" spans="1:16" ht="21.75" customHeight="1" x14ac:dyDescent="0.3">
      <c r="A44" s="79"/>
      <c r="B44" s="80"/>
      <c r="C44" s="81" t="s">
        <v>16</v>
      </c>
      <c r="D44" s="564" t="s">
        <v>20</v>
      </c>
      <c r="E44" s="565"/>
      <c r="F44" s="565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563300</v>
      </c>
      <c r="M45" s="49">
        <f ca="1">IFERROR(__xludf.DUMMYFUNCTION("IMPORTRANGE(""https://docs.google.com/spreadsheets/d/1Yj_ptqi66GCucihVvJfMjLAmec39IyEx_6qawtMGysU/edit?usp=sharing"",""สบก!Q66"")"),563300)</f>
        <v>563300</v>
      </c>
      <c r="N45" s="49">
        <f ca="1">IFERROR(__xludf.DUMMYFUNCTION("IMPORTRANGE(""https://docs.google.com/spreadsheets/d/1Yj_ptqi66GCucihVvJfMjLAmec39IyEx_6qawtMGysU/edit?usp=sharing"",""สบก!R66"")"),451085.99)</f>
        <v>451085.99</v>
      </c>
      <c r="O45" s="38">
        <f ca="1">IF(L45&gt;0,N45*100/L45,0)</f>
        <v>80.079174507367298</v>
      </c>
      <c r="P45" s="38">
        <f ca="1">IF(M45&gt;0,N45*100/M45,0)</f>
        <v>80.079174507367298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IFERROR(__xludf.DUMMYFUNCTION("IMPORTRANGE(""https://docs.google.com/spreadsheets/d/1Yj_ptqi66GCucihVvJfMjLAmec39IyEx_6qawtMGysU/edit?usp=sharing"",""สบก!M66"")"),563300)</f>
        <v>563300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IFERROR(__xludf.DUMMYFUNCTION("IMPORTRANGE(""https://docs.google.com/spreadsheets/d/1Yj_ptqi66GCucihVvJfMjLAmec39IyEx_6qawtMGysU/edit?usp=sharing"",""สบก!N66"")"),0)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564" t="s">
        <v>23</v>
      </c>
      <c r="E48" s="565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IFERROR(__xludf.DUMMYFUNCTION("IMPORTRANGE(""https://docs.google.com/spreadsheets/d/1Yj_ptqi66GCucihVvJfMjLAmec39IyEx_6qawtMGysU/edit?usp=sharing"",""สบก!O66"")"),0)</f>
        <v>0</v>
      </c>
      <c r="M49" s="49"/>
      <c r="N49" s="49">
        <f ca="1">IFERROR(__xludf.DUMMYFUNCTION("IMPORTRANGE(""https://docs.google.com/spreadsheets/d/1Yj_ptqi66GCucihVvJfMjLAmec39IyEx_6qawtMGysU/edit?usp=sharing"",""สบก!S66"")"),0)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6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7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288000</v>
      </c>
      <c r="M53" s="121">
        <f t="shared" ca="1" si="39"/>
        <v>314872</v>
      </c>
      <c r="N53" s="121">
        <f t="shared" ca="1" si="39"/>
        <v>267872</v>
      </c>
      <c r="O53" s="120">
        <f t="shared" ref="O53:O55" ca="1" si="40">IF(L53&gt;0,N53*100/L53,0)</f>
        <v>93.011111111111106</v>
      </c>
      <c r="P53" s="120">
        <f t="shared" ref="P53:P55" ca="1" si="41">IF(M53&gt;0,N53*100/M53,0)</f>
        <v>85.073299626514896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288000</v>
      </c>
      <c r="M55" s="121">
        <f t="shared" ca="1" si="43"/>
        <v>314872</v>
      </c>
      <c r="N55" s="121">
        <f t="shared" ca="1" si="43"/>
        <v>267872</v>
      </c>
      <c r="O55" s="120">
        <f t="shared" ca="1" si="40"/>
        <v>93.011111111111106</v>
      </c>
      <c r="P55" s="120">
        <f t="shared" ca="1" si="41"/>
        <v>85.073299626514896</v>
      </c>
    </row>
    <row r="56" spans="1:16" ht="21.75" customHeight="1" x14ac:dyDescent="0.3">
      <c r="A56" s="79"/>
      <c r="B56" s="80"/>
      <c r="C56" s="81" t="s">
        <v>16</v>
      </c>
      <c r="D56" s="564" t="s">
        <v>20</v>
      </c>
      <c r="E56" s="565"/>
      <c r="F56" s="565"/>
      <c r="G56" s="82" t="s">
        <v>18</v>
      </c>
      <c r="H56" s="83" t="s">
        <v>12</v>
      </c>
      <c r="I56" s="84"/>
      <c r="J56" s="84"/>
      <c r="K56" s="85"/>
      <c r="L56" s="86">
        <v>0</v>
      </c>
      <c r="M56" s="157"/>
      <c r="N56" s="86"/>
      <c r="O56" s="86"/>
      <c r="P56" s="86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288000</v>
      </c>
      <c r="M57" s="49">
        <f ca="1">IFERROR(__xludf.DUMMYFUNCTION("IMPORTRANGE(""https://docs.google.com/spreadsheets/d/1Yj_ptqi66GCucihVvJfMjLAmec39IyEx_6qawtMGysU/edit?usp=sharing"",""สบก!Z66"")"),314872)</f>
        <v>314872</v>
      </c>
      <c r="N57" s="49">
        <f ca="1">IFERROR(__xludf.DUMMYFUNCTION("IMPORTRANGE(""https://docs.google.com/spreadsheets/d/1Yj_ptqi66GCucihVvJfMjLAmec39IyEx_6qawtMGysU/edit?usp=sharing"",""สบก!AA66"")"),267872)</f>
        <v>267872</v>
      </c>
      <c r="O57" s="38">
        <f ca="1">IF(L57&gt;0,N57*100/L57,0)</f>
        <v>93.011111111111106</v>
      </c>
      <c r="P57" s="38">
        <f ca="1">IF(M57&gt;0,N57*100/M57,0)</f>
        <v>85.073299626514896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IFERROR(__xludf.DUMMYFUNCTION("IMPORTRANGE(""https://docs.google.com/spreadsheets/d/1Yj_ptqi66GCucihVvJfMjLAmec39IyEx_6qawtMGysU/edit?usp=sharing"",""สบก!V66"")"),288000)</f>
        <v>288000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IFERROR(__xludf.DUMMYFUNCTION("IMPORTRANGE(""https://docs.google.com/spreadsheets/d/1Yj_ptqi66GCucihVvJfMjLAmec39IyEx_6qawtMGysU/edit?usp=sharing"",""สบก!W66"")"),0)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564" t="s">
        <v>23</v>
      </c>
      <c r="E60" s="565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IFERROR(__xludf.DUMMYFUNCTION("IMPORTRANGE(""https://docs.google.com/spreadsheets/d/1Yj_ptqi66GCucihVvJfMjLAmec39IyEx_6qawtMGysU/edit?usp=sharing"",""สบก!X66"")"),0)</f>
        <v>0</v>
      </c>
      <c r="M61" s="49"/>
      <c r="N61" s="49">
        <f ca="1">IFERROR(__xludf.DUMMYFUNCTION("IMPORTRANGE(""https://docs.google.com/spreadsheets/d/1Yj_ptqi66GCucihVvJfMjLAmec39IyEx_6qawtMGysU/edit?usp=sharing"",""สบก!AB66"")"),0)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IFERROR(__xludf.DUMMYFUNCTION("IMPORTRANGE(""https://docs.google.com/spreadsheets/d/1SX6NBoVAgQJ6U1MVXOaj8PK2l7WJ3RER9xtqwdhxkhw/edit?usp=sharing"",""นครปฐม!I9"")"),0)</f>
        <v>0</v>
      </c>
      <c r="J64" s="142">
        <f ca="1">IFERROR(__xludf.DUMMYFUNCTION("IMPORTRANGE(""https://docs.google.com/spreadsheets/d/1SX6NBoVAgQJ6U1MVXOaj8PK2l7WJ3RER9xtqwdhxkhw/edit?usp=sharing"",""นครปฐม!J9"")"),0)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IFERROR(__xludf.DUMMYFUNCTION("IMPORTRANGE(""https://docs.google.com/spreadsheets/d/1SX6NBoVAgQJ6U1MVXOaj8PK2l7WJ3RER9xtqwdhxkhw/edit?usp=sharing"",""นครปฐม!I10"")"),0)</f>
        <v>0</v>
      </c>
      <c r="J65" s="142">
        <f ca="1">IFERROR(__xludf.DUMMYFUNCTION("IMPORTRANGE(""https://docs.google.com/spreadsheets/d/1SX6NBoVAgQJ6U1MVXOaj8PK2l7WJ3RER9xtqwdhxkhw/edit?usp=sharing"",""นครปฐม!J10"")"),0)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2" t="s">
        <v>17</v>
      </c>
      <c r="E66" s="563"/>
      <c r="F66" s="563"/>
      <c r="G66" s="563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7400</v>
      </c>
      <c r="N66" s="152">
        <f t="shared" ca="1" si="45"/>
        <v>7400</v>
      </c>
      <c r="O66" s="151">
        <f t="shared" ref="O66:O68" ca="1" si="46">IF(L66&gt;0,N66*100/L66,0)</f>
        <v>0</v>
      </c>
      <c r="P66" s="151">
        <f t="shared" ref="P66:P68" ca="1" si="47">IF(M66&gt;0,N66*100/M66,0)</f>
        <v>100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7400</v>
      </c>
      <c r="N68" s="157">
        <f t="shared" ca="1" si="49"/>
        <v>7400</v>
      </c>
      <c r="O68" s="156">
        <f t="shared" ca="1" si="46"/>
        <v>0</v>
      </c>
      <c r="P68" s="156">
        <f t="shared" ca="1" si="47"/>
        <v>100</v>
      </c>
    </row>
    <row r="69" spans="1:16" ht="21.75" customHeight="1" x14ac:dyDescent="0.3">
      <c r="A69" s="158"/>
      <c r="B69" s="159"/>
      <c r="C69" s="159" t="s">
        <v>16</v>
      </c>
      <c r="D69" s="564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IFERROR(__xludf.DUMMYFUNCTION("IMPORTRANGE(""https://docs.google.com/spreadsheets/d/1Yj_ptqi66GCucihVvJfMjLAmec39IyEx_6qawtMGysU/edit?usp=sharing"",""สบก!AI66"")"),7400)</f>
        <v>7400</v>
      </c>
      <c r="N70" s="169">
        <f ca="1">IFERROR(__xludf.DUMMYFUNCTION("IMPORTRANGE(""https://docs.google.com/spreadsheets/d/1Yj_ptqi66GCucihVvJfMjLAmec39IyEx_6qawtMGysU/edit?usp=sharing"",""สบก!AJ66"")"),7400)</f>
        <v>7400</v>
      </c>
      <c r="O70" s="169">
        <f ca="1">IF(L70&gt;0,N70*100/L70,0)</f>
        <v>0</v>
      </c>
      <c r="P70" s="169">
        <f ca="1">IF(M70&gt;0,N70*100/M70,0)</f>
        <v>100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IFERROR(__xludf.DUMMYFUNCTION("IMPORTRANGE(""https://docs.google.com/spreadsheets/d/1Yj_ptqi66GCucihVvJfMjLAmec39IyEx_6qawtMGysU/edit?usp=sharing"",""สบก!AE66"")"),0)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IFERROR(__xludf.DUMMYFUNCTION("IMPORTRANGE(""https://docs.google.com/spreadsheets/d/1Yj_ptqi66GCucihVvJfMjLAmec39IyEx_6qawtMGysU/edit?usp=sharing"",""สบก!AF66"")"),0)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564" t="s">
        <v>23</v>
      </c>
      <c r="E73" s="565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IFERROR(__xludf.DUMMYFUNCTION("IMPORTRANGE(""https://docs.google.com/spreadsheets/d/1Yj_ptqi66GCucihVvJfMjLAmec39IyEx_6qawtMGysU/edit?usp=sharing"",""สบก!AG66"")"),0)</f>
        <v>0</v>
      </c>
      <c r="M74" s="49"/>
      <c r="N74" s="49">
        <f ca="1">IFERROR(__xludf.DUMMYFUNCTION("IMPORTRANGE(""https://docs.google.com/spreadsheets/d/1Yj_ptqi66GCucihVvJfMjLAmec39IyEx_6qawtMGysU/edit?usp=sharing"",""สบก!AK66"")"),0)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IFERROR(__xludf.DUMMYFUNCTION("IMPORTRANGE(""https://docs.google.com/spreadsheets/d/1SX6NBoVAgQJ6U1MVXOaj8PK2l7WJ3RER9xtqwdhxkhw/edit?usp=sharing"",""นครปฐม!J16"")"),0)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IFERROR(__xludf.DUMMYFUNCTION("IMPORTRANGE(""https://docs.google.com/spreadsheets/d/1SX6NBoVAgQJ6U1MVXOaj8PK2l7WJ3RER9xtqwdhxkhw/edit?usp=sharing"",""นครปฐม!J17"")"),0)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IFERROR(__xludf.DUMMYFUNCTION("IMPORTRANGE(""https://docs.google.com/spreadsheets/d/1SX6NBoVAgQJ6U1MVXOaj8PK2l7WJ3RER9xtqwdhxkhw/edit?usp=sharing"",""นครปฐม!J18"")"),0)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IFERROR(__xludf.DUMMYFUNCTION("IMPORTRANGE(""https://docs.google.com/spreadsheets/d/1SX6NBoVAgQJ6U1MVXOaj8PK2l7WJ3RER9xtqwdhxkhw/edit?usp=sharing"",""นครปฐม!J19"")"),0)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IFERROR(__xludf.DUMMYFUNCTION("IMPORTRANGE(""https://docs.google.com/spreadsheets/d/1SX6NBoVAgQJ6U1MVXOaj8PK2l7WJ3RER9xtqwdhxkhw/edit?usp=sharing"",""นครปฐม!I20"")"),0)</f>
        <v>0</v>
      </c>
      <c r="J80" s="201">
        <f ca="1">IFERROR(__xludf.DUMMYFUNCTION("IMPORTRANGE(""https://docs.google.com/spreadsheets/d/1SX6NBoVAgQJ6U1MVXOaj8PK2l7WJ3RER9xtqwdhxkhw/edit?usp=sharing"",""นครปฐม!J20"")"),0)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IFERROR(__xludf.DUMMYFUNCTION("IMPORTRANGE(""https://docs.google.com/spreadsheets/d/1SX6NBoVAgQJ6U1MVXOaj8PK2l7WJ3RER9xtqwdhxkhw/edit?usp=sharing"",""นครปฐม!I21"")"),0)</f>
        <v>0</v>
      </c>
      <c r="J81" s="201">
        <f ca="1">IFERROR(__xludf.DUMMYFUNCTION("IMPORTRANGE(""https://docs.google.com/spreadsheets/d/1SX6NBoVAgQJ6U1MVXOaj8PK2l7WJ3RER9xtqwdhxkhw/edit?usp=sharing"",""นครปฐม!J21"")"),0)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IFERROR(__xludf.DUMMYFUNCTION("IMPORTRANGE(""https://docs.google.com/spreadsheets/d/1SX6NBoVAgQJ6U1MVXOaj8PK2l7WJ3RER9xtqwdhxkhw/edit?usp=sharing"",""นครปฐม!I22"")"),0)</f>
        <v>0</v>
      </c>
      <c r="J82" s="204">
        <f ca="1">IFERROR(__xludf.DUMMYFUNCTION("IMPORTRANGE(""https://docs.google.com/spreadsheets/d/1SX6NBoVAgQJ6U1MVXOaj8PK2l7WJ3RER9xtqwdhxkhw/edit?usp=sharing"",""นครปฐม!J22"")"),0)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IFERROR(__xludf.DUMMYFUNCTION("IMPORTRANGE(""https://docs.google.com/spreadsheets/d/1SX6NBoVAgQJ6U1MVXOaj8PK2l7WJ3RER9xtqwdhxkhw/edit?usp=sharing"",""นครปฐม!I23"")"),0)</f>
        <v>0</v>
      </c>
      <c r="J83" s="204">
        <f ca="1">IFERROR(__xludf.DUMMYFUNCTION("IMPORTRANGE(""https://docs.google.com/spreadsheets/d/1SX6NBoVAgQJ6U1MVXOaj8PK2l7WJ3RER9xtqwdhxkhw/edit?usp=sharing"",""นครปฐม!J23"")"),0)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IFERROR(__xludf.DUMMYFUNCTION("IMPORTRANGE(""https://docs.google.com/spreadsheets/d/1SX6NBoVAgQJ6U1MVXOaj8PK2l7WJ3RER9xtqwdhxkhw/edit?usp=sharing"",""นครปฐม!I24"")"),0)</f>
        <v>0</v>
      </c>
      <c r="J84" s="189">
        <f ca="1">IFERROR(__xludf.DUMMYFUNCTION("IMPORTRANGE(""https://docs.google.com/spreadsheets/d/1SX6NBoVAgQJ6U1MVXOaj8PK2l7WJ3RER9xtqwdhxkhw/edit?usp=sharing"",""นครปฐม!J24"")"),0)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IFERROR(__xludf.DUMMYFUNCTION("IMPORTRANGE(""https://docs.google.com/spreadsheets/d/1SX6NBoVAgQJ6U1MVXOaj8PK2l7WJ3RER9xtqwdhxkhw/edit?usp=sharing"",""นครปฐม!I25"")"),0)</f>
        <v>0</v>
      </c>
      <c r="J85" s="189">
        <f ca="1">IFERROR(__xludf.DUMMYFUNCTION("IMPORTRANGE(""https://docs.google.com/spreadsheets/d/1SX6NBoVAgQJ6U1MVXOaj8PK2l7WJ3RER9xtqwdhxkhw/edit?usp=sharing"",""นครปฐม!J25"")"),0)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IFERROR(__xludf.DUMMYFUNCTION("IMPORTRANGE(""https://docs.google.com/spreadsheets/d/1SX6NBoVAgQJ6U1MVXOaj8PK2l7WJ3RER9xtqwdhxkhw/edit?usp=sharing"",""นครปฐม!I26"")"),0)</f>
        <v>0</v>
      </c>
      <c r="J86" s="204">
        <f ca="1">IFERROR(__xludf.DUMMYFUNCTION("IMPORTRANGE(""https://docs.google.com/spreadsheets/d/1SX6NBoVAgQJ6U1MVXOaj8PK2l7WJ3RER9xtqwdhxkhw/edit?usp=sharing"",""นครปฐม!J26"")"),0)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IFERROR(__xludf.DUMMYFUNCTION("IMPORTRANGE(""https://docs.google.com/spreadsheets/d/1SX6NBoVAgQJ6U1MVXOaj8PK2l7WJ3RER9xtqwdhxkhw/edit?usp=sharing"",""นครปฐม!I27"")"),0)</f>
        <v>0</v>
      </c>
      <c r="J87" s="204">
        <f ca="1">IFERROR(__xludf.DUMMYFUNCTION("IMPORTRANGE(""https://docs.google.com/spreadsheets/d/1SX6NBoVAgQJ6U1MVXOaj8PK2l7WJ3RER9xtqwdhxkhw/edit?usp=sharing"",""นครปฐม!J27"")"),0)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IFERROR(__xludf.DUMMYFUNCTION("IMPORTRANGE(""https://docs.google.com/spreadsheets/d/1SX6NBoVAgQJ6U1MVXOaj8PK2l7WJ3RER9xtqwdhxkhw/edit?usp=sharing"",""นครปฐม!I28"")"),0)</f>
        <v>0</v>
      </c>
      <c r="J88" s="204">
        <f ca="1">IFERROR(__xludf.DUMMYFUNCTION("IMPORTRANGE(""https://docs.google.com/spreadsheets/d/1SX6NBoVAgQJ6U1MVXOaj8PK2l7WJ3RER9xtqwdhxkhw/edit?usp=sharing"",""นครปฐม!J28"")"),0)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IFERROR(__xludf.DUMMYFUNCTION("IMPORTRANGE(""https://docs.google.com/spreadsheets/d/1SX6NBoVAgQJ6U1MVXOaj8PK2l7WJ3RER9xtqwdhxkhw/edit?usp=sharing"",""นครปฐม!J29"")"),0)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IFERROR(__xludf.DUMMYFUNCTION("IMPORTRANGE(""https://docs.google.com/spreadsheets/d/1SX6NBoVAgQJ6U1MVXOaj8PK2l7WJ3RER9xtqwdhxkhw/edit?usp=sharing"",""นครปฐม!J30"")"),0)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IFERROR(__xludf.DUMMYFUNCTION("IMPORTRANGE(""https://docs.google.com/spreadsheets/d/1SX6NBoVAgQJ6U1MVXOaj8PK2l7WJ3RER9xtqwdhxkhw/edit?usp=sharing"",""นครปฐม!I32"")"),0)</f>
        <v>0</v>
      </c>
      <c r="J92" s="142">
        <f ca="1">IFERROR(__xludf.DUMMYFUNCTION("IMPORTRANGE(""https://docs.google.com/spreadsheets/d/1SX6NBoVAgQJ6U1MVXOaj8PK2l7WJ3RER9xtqwdhxkhw/edit?usp=sharing"",""นครปฐม!J32"")"),0)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IFERROR(__xludf.DUMMYFUNCTION("IMPORTRANGE(""https://docs.google.com/spreadsheets/d/1SX6NBoVAgQJ6U1MVXOaj8PK2l7WJ3RER9xtqwdhxkhw/edit?usp=sharing"",""นครปฐม!I33"")"),0)</f>
        <v>0</v>
      </c>
      <c r="J93" s="142">
        <f ca="1">IFERROR(__xludf.DUMMYFUNCTION("IMPORTRANGE(""https://docs.google.com/spreadsheets/d/1SX6NBoVAgQJ6U1MVXOaj8PK2l7WJ3RER9xtqwdhxkhw/edit?usp=sharing"",""นครปฐม!J33"")"),0)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2" t="s">
        <v>17</v>
      </c>
      <c r="E94" s="563"/>
      <c r="F94" s="563"/>
      <c r="G94" s="563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564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IFERROR(__xludf.DUMMYFUNCTION("IMPORTRANGE(""https://docs.google.com/spreadsheets/d/1Yj_ptqi66GCucihVvJfMjLAmec39IyEx_6qawtMGysU/edit?usp=sharing"",""สบก!AR66"")"),0)</f>
        <v>0</v>
      </c>
      <c r="N98" s="169">
        <f ca="1">IFERROR(__xludf.DUMMYFUNCTION("IMPORTRANGE(""https://docs.google.com/spreadsheets/d/1Yj_ptqi66GCucihVvJfMjLAmec39IyEx_6qawtMGysU/edit?usp=sharing"",""สบก!AS66"")"),0)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IFERROR(__xludf.DUMMYFUNCTION("IMPORTRANGE(""https://docs.google.com/spreadsheets/d/1Yj_ptqi66GCucihVvJfMjLAmec39IyEx_6qawtMGysU/edit?usp=sharing"",""สบก!AN66"")"),0)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IFERROR(__xludf.DUMMYFUNCTION("IMPORTRANGE(""https://docs.google.com/spreadsheets/d/1Yj_ptqi66GCucihVvJfMjLAmec39IyEx_6qawtMGysU/edit?usp=sharing"",""สบก!AO66"")"),0)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564" t="s">
        <v>23</v>
      </c>
      <c r="E101" s="565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IFERROR(__xludf.DUMMYFUNCTION("IMPORTRANGE(""https://docs.google.com/spreadsheets/d/1Yj_ptqi66GCucihVvJfMjLAmec39IyEx_6qawtMGysU/edit?usp=sharing"",""สบก!AP66"")"),0)</f>
        <v>0</v>
      </c>
      <c r="M102" s="49"/>
      <c r="N102" s="49">
        <f ca="1">IFERROR(__xludf.DUMMYFUNCTION("IMPORTRANGE(""https://docs.google.com/spreadsheets/d/1Yj_ptqi66GCucihVvJfMjLAmec39IyEx_6qawtMGysU/edit?usp=sharing"",""สบก!AT66"")"),0)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IFERROR(__xludf.DUMMYFUNCTION("IMPORTRANGE(""https://docs.google.com/spreadsheets/d/1SX6NBoVAgQJ6U1MVXOaj8PK2l7WJ3RER9xtqwdhxkhw/edit?usp=sharing"",""นครปฐม!J39"")"),0)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IFERROR(__xludf.DUMMYFUNCTION("IMPORTRANGE(""https://docs.google.com/spreadsheets/d/1SX6NBoVAgQJ6U1MVXOaj8PK2l7WJ3RER9xtqwdhxkhw/edit?usp=sharing"",""นครปฐม!J40"")"),0)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IFERROR(__xludf.DUMMYFUNCTION("IMPORTRANGE(""https://docs.google.com/spreadsheets/d/1SX6NBoVAgQJ6U1MVXOaj8PK2l7WJ3RER9xtqwdhxkhw/edit?usp=sharing"",""นครปฐม!J41"")"),0)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IFERROR(__xludf.DUMMYFUNCTION("IMPORTRANGE(""https://docs.google.com/spreadsheets/d/1SX6NBoVAgQJ6U1MVXOaj8PK2l7WJ3RER9xtqwdhxkhw/edit?usp=sharing"",""นครปฐม!J42"")"),0)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IFERROR(__xludf.DUMMYFUNCTION("IMPORTRANGE(""https://docs.google.com/spreadsheets/d/1SX6NBoVAgQJ6U1MVXOaj8PK2l7WJ3RER9xtqwdhxkhw/edit?usp=sharing"",""นครปฐม!I43"")"),0)</f>
        <v>0</v>
      </c>
      <c r="J108" s="204">
        <f ca="1">IFERROR(__xludf.DUMMYFUNCTION("IMPORTRANGE(""https://docs.google.com/spreadsheets/d/1SX6NBoVAgQJ6U1MVXOaj8PK2l7WJ3RER9xtqwdhxkhw/edit?usp=sharing"",""นครปฐม!J43"")"),0)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IFERROR(__xludf.DUMMYFUNCTION("IMPORTRANGE(""https://docs.google.com/spreadsheets/d/1SX6NBoVAgQJ6U1MVXOaj8PK2l7WJ3RER9xtqwdhxkhw/edit?usp=sharing"",""นครปฐม!I44"")"),0)</f>
        <v>0</v>
      </c>
      <c r="J109" s="204">
        <f ca="1">IFERROR(__xludf.DUMMYFUNCTION("IMPORTRANGE(""https://docs.google.com/spreadsheets/d/1SX6NBoVAgQJ6U1MVXOaj8PK2l7WJ3RER9xtqwdhxkhw/edit?usp=sharing"",""นครปฐม!J44"")"),0)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IFERROR(__xludf.DUMMYFUNCTION("IMPORTRANGE(""https://docs.google.com/spreadsheets/d/1SX6NBoVAgQJ6U1MVXOaj8PK2l7WJ3RER9xtqwdhxkhw/edit?usp=sharing"",""นครปฐม!I45"")"),0)</f>
        <v>0</v>
      </c>
      <c r="J110" s="204">
        <f ca="1">IFERROR(__xludf.DUMMYFUNCTION("IMPORTRANGE(""https://docs.google.com/spreadsheets/d/1SX6NBoVAgQJ6U1MVXOaj8PK2l7WJ3RER9xtqwdhxkhw/edit?usp=sharing"",""นครปฐม!J45"")"),0)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IFERROR(__xludf.DUMMYFUNCTION("IMPORTRANGE(""https://docs.google.com/spreadsheets/d/1SX6NBoVAgQJ6U1MVXOaj8PK2l7WJ3RER9xtqwdhxkhw/edit?usp=sharing"",""นครปฐม!I46"")"),0)</f>
        <v>0</v>
      </c>
      <c r="J111" s="204">
        <f ca="1">IFERROR(__xludf.DUMMYFUNCTION("IMPORTRANGE(""https://docs.google.com/spreadsheets/d/1SX6NBoVAgQJ6U1MVXOaj8PK2l7WJ3RER9xtqwdhxkhw/edit?usp=sharing"",""นครปฐม!J46"")"),0)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IFERROR(__xludf.DUMMYFUNCTION("IMPORTRANGE(""https://docs.google.com/spreadsheets/d/1SX6NBoVAgQJ6U1MVXOaj8PK2l7WJ3RER9xtqwdhxkhw/edit?usp=sharing"",""นครปฐม!I47"")"),0)</f>
        <v>0</v>
      </c>
      <c r="J112" s="204">
        <f ca="1">IFERROR(__xludf.DUMMYFUNCTION("IMPORTRANGE(""https://docs.google.com/spreadsheets/d/1SX6NBoVAgQJ6U1MVXOaj8PK2l7WJ3RER9xtqwdhxkhw/edit?usp=sharing"",""นครปฐม!J47"")"),0)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IFERROR(__xludf.DUMMYFUNCTION("IMPORTRANGE(""https://docs.google.com/spreadsheets/d/1SX6NBoVAgQJ6U1MVXOaj8PK2l7WJ3RER9xtqwdhxkhw/edit?usp=sharing"",""นครปฐม!I48"")"),0)</f>
        <v>0</v>
      </c>
      <c r="J113" s="204">
        <f ca="1">IFERROR(__xludf.DUMMYFUNCTION("IMPORTRANGE(""https://docs.google.com/spreadsheets/d/1SX6NBoVAgQJ6U1MVXOaj8PK2l7WJ3RER9xtqwdhxkhw/edit?usp=sharing"",""นครปฐม!J48"")"),0)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IFERROR(__xludf.DUMMYFUNCTION("IMPORTRANGE(""https://docs.google.com/spreadsheets/d/1SX6NBoVAgQJ6U1MVXOaj8PK2l7WJ3RER9xtqwdhxkhw/edit?usp=sharing"",""นครปฐม!J49"")"),0)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IFERROR(__xludf.DUMMYFUNCTION("IMPORTRANGE(""https://docs.google.com/spreadsheets/d/1SX6NBoVAgQJ6U1MVXOaj8PK2l7WJ3RER9xtqwdhxkhw/edit?usp=sharing"",""นครปฐม!J50"")"),0)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IFERROR(__xludf.DUMMYFUNCTION("IMPORTRANGE(""https://docs.google.com/spreadsheets/d/1SX6NBoVAgQJ6U1MVXOaj8PK2l7WJ3RER9xtqwdhxkhw/edit?usp=sharing"",""นครปฐม!I52"")"),0)</f>
        <v>0</v>
      </c>
      <c r="J117" s="142">
        <f ca="1">IFERROR(__xludf.DUMMYFUNCTION("IMPORTRANGE(""https://docs.google.com/spreadsheets/d/1SX6NBoVAgQJ6U1MVXOaj8PK2l7WJ3RER9xtqwdhxkhw/edit?usp=sharing"",""นครปฐม!J52"")"),0)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2" t="s">
        <v>17</v>
      </c>
      <c r="E118" s="563"/>
      <c r="F118" s="563"/>
      <c r="G118" s="563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564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IFERROR(__xludf.DUMMYFUNCTION("IMPORTRANGE(""https://docs.google.com/spreadsheets/d/1Yj_ptqi66GCucihVvJfMjLAmec39IyEx_6qawtMGysU/edit?usp=sharing"",""สบก!BA66"")"),0)</f>
        <v>0</v>
      </c>
      <c r="N122" s="169">
        <f ca="1">IFERROR(__xludf.DUMMYFUNCTION("IMPORTRANGE(""https://docs.google.com/spreadsheets/d/1Yj_ptqi66GCucihVvJfMjLAmec39IyEx_6qawtMGysU/edit?usp=sharing"",""สบก!BB66"")"),0)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IFERROR(__xludf.DUMMYFUNCTION("IMPORTRANGE(""https://docs.google.com/spreadsheets/d/1Yj_ptqi66GCucihVvJfMjLAmec39IyEx_6qawtMGysU/edit?usp=sharing"",""สบก!AW66"")"),0)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IFERROR(__xludf.DUMMYFUNCTION("IMPORTRANGE(""https://docs.google.com/spreadsheets/d/1Yj_ptqi66GCucihVvJfMjLAmec39IyEx_6qawtMGysU/edit?usp=sharing"",""สบก!AX66"")"),0)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564" t="s">
        <v>23</v>
      </c>
      <c r="E125" s="565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IFERROR(__xludf.DUMMYFUNCTION("IMPORTRANGE(""https://docs.google.com/spreadsheets/d/1Yj_ptqi66GCucihVvJfMjLAmec39IyEx_6qawtMGysU/edit?usp=sharing"",""สบก!AY66"")"),0)</f>
        <v>0</v>
      </c>
      <c r="M126" s="49"/>
      <c r="N126" s="49">
        <f ca="1">IFERROR(__xludf.DUMMYFUNCTION("IMPORTRANGE(""https://docs.google.com/spreadsheets/d/1Yj_ptqi66GCucihVvJfMjLAmec39IyEx_6qawtMGysU/edit?usp=sharing"",""สบก!BC66"")"),0)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IFERROR(__xludf.DUMMYFUNCTION("IMPORTRANGE(""https://docs.google.com/spreadsheets/d/1SX6NBoVAgQJ6U1MVXOaj8PK2l7WJ3RER9xtqwdhxkhw/edit?usp=sharing"",""นครปฐม!J58"")"),0)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IFERROR(__xludf.DUMMYFUNCTION("IMPORTRANGE(""https://docs.google.com/spreadsheets/d/1SX6NBoVAgQJ6U1MVXOaj8PK2l7WJ3RER9xtqwdhxkhw/edit?usp=sharing"",""นครปฐม!J59"")"),0)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IFERROR(__xludf.DUMMYFUNCTION("IMPORTRANGE(""https://docs.google.com/spreadsheets/d/1SX6NBoVAgQJ6U1MVXOaj8PK2l7WJ3RER9xtqwdhxkhw/edit?usp=sharing"",""นครปฐม!J60"")"),0)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IFERROR(__xludf.DUMMYFUNCTION("IMPORTRANGE(""https://docs.google.com/spreadsheets/d/1SX6NBoVAgQJ6U1MVXOaj8PK2l7WJ3RER9xtqwdhxkhw/edit?usp=sharing"",""นครปฐม!J61"")"),0)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IFERROR(__xludf.DUMMYFUNCTION("IMPORTRANGE(""https://docs.google.com/spreadsheets/d/1SX6NBoVAgQJ6U1MVXOaj8PK2l7WJ3RER9xtqwdhxkhw/edit?usp=sharing"",""นครปฐม!I62"")"),0)</f>
        <v>0</v>
      </c>
      <c r="J132" s="204">
        <f ca="1">IFERROR(__xludf.DUMMYFUNCTION("IMPORTRANGE(""https://docs.google.com/spreadsheets/d/1SX6NBoVAgQJ6U1MVXOaj8PK2l7WJ3RER9xtqwdhxkhw/edit?usp=sharing"",""นครปฐม!J62"")"),0)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IFERROR(__xludf.DUMMYFUNCTION("IMPORTRANGE(""https://docs.google.com/spreadsheets/d/1SX6NBoVAgQJ6U1MVXOaj8PK2l7WJ3RER9xtqwdhxkhw/edit?usp=sharing"",""นครปฐม!I63"")"),0)</f>
        <v>0</v>
      </c>
      <c r="J133" s="204">
        <f ca="1">IFERROR(__xludf.DUMMYFUNCTION("IMPORTRANGE(""https://docs.google.com/spreadsheets/d/1SX6NBoVAgQJ6U1MVXOaj8PK2l7WJ3RER9xtqwdhxkhw/edit?usp=sharing"",""นครปฐม!J63"")"),0)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IFERROR(__xludf.DUMMYFUNCTION("IMPORTRANGE(""https://docs.google.com/spreadsheets/d/1SX6NBoVAgQJ6U1MVXOaj8PK2l7WJ3RER9xtqwdhxkhw/edit?usp=sharing"",""นครปฐม!J64"")"),0)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IFERROR(__xludf.DUMMYFUNCTION("IMPORTRANGE(""https://docs.google.com/spreadsheets/d/1SX6NBoVAgQJ6U1MVXOaj8PK2l7WJ3RER9xtqwdhxkhw/edit?usp=sharing"",""นครปฐม!J65"")"),0)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IFERROR(__xludf.DUMMYFUNCTION("IMPORTRANGE(""https://docs.google.com/spreadsheets/d/1SX6NBoVAgQJ6U1MVXOaj8PK2l7WJ3RER9xtqwdhxkhw/edit?usp=sharing"",""นครปฐม!I68"")"),20)</f>
        <v>20</v>
      </c>
      <c r="J138" s="268">
        <f ca="1">IFERROR(__xludf.DUMMYFUNCTION("IMPORTRANGE(""https://docs.google.com/spreadsheets/d/1SX6NBoVAgQJ6U1MVXOaj8PK2l7WJ3RER9xtqwdhxkhw/edit?usp=sharing"",""นครปฐม!J68"")"),20)</f>
        <v>20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562" t="s">
        <v>17</v>
      </c>
      <c r="E140" s="563"/>
      <c r="F140" s="563"/>
      <c r="G140" s="563"/>
      <c r="H140" s="149" t="s">
        <v>12</v>
      </c>
      <c r="I140" s="162"/>
      <c r="J140" s="162"/>
      <c r="K140" s="163"/>
      <c r="L140" s="152">
        <f t="shared" ref="L140:N140" ca="1" si="64">L141+L142</f>
        <v>567900</v>
      </c>
      <c r="M140" s="152">
        <f t="shared" ca="1" si="64"/>
        <v>575900</v>
      </c>
      <c r="N140" s="152">
        <f t="shared" ca="1" si="64"/>
        <v>459811.46</v>
      </c>
      <c r="O140" s="151">
        <f t="shared" ref="O140:O142" ca="1" si="65">IF(L140&gt;0,N140*100/L140,0)</f>
        <v>80.966976580383871</v>
      </c>
      <c r="P140" s="151">
        <f t="shared" ref="P140:P142" ca="1" si="66">IF(M140&gt;0,N140*100/M140,0)</f>
        <v>79.842239972217399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567900</v>
      </c>
      <c r="M142" s="157">
        <f t="shared" ca="1" si="68"/>
        <v>575900</v>
      </c>
      <c r="N142" s="157">
        <f t="shared" ca="1" si="68"/>
        <v>459811.46</v>
      </c>
      <c r="O142" s="156">
        <f t="shared" ca="1" si="65"/>
        <v>80.966976580383871</v>
      </c>
      <c r="P142" s="156">
        <f t="shared" ca="1" si="66"/>
        <v>79.842239972217399</v>
      </c>
    </row>
    <row r="143" spans="1:16" ht="21.75" customHeight="1" x14ac:dyDescent="0.3">
      <c r="A143" s="158"/>
      <c r="B143" s="159"/>
      <c r="C143" s="159" t="s">
        <v>16</v>
      </c>
      <c r="D143" s="564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567900</v>
      </c>
      <c r="M144" s="168">
        <f ca="1">IFERROR(__xludf.DUMMYFUNCTION("IMPORTRANGE(""https://docs.google.com/spreadsheets/d/1Yj_ptqi66GCucihVvJfMjLAmec39IyEx_6qawtMGysU/edit?usp=sharing"",""สบก!BJ66"")"),575900)</f>
        <v>575900</v>
      </c>
      <c r="N144" s="169">
        <f ca="1">IFERROR(__xludf.DUMMYFUNCTION("IMPORTRANGE(""https://docs.google.com/spreadsheets/d/1Yj_ptqi66GCucihVvJfMjLAmec39IyEx_6qawtMGysU/edit?usp=sharing"",""สบก!BK66"")"),459811.46)</f>
        <v>459811.46</v>
      </c>
      <c r="O144" s="169">
        <f ca="1">IF(L144&gt;0,N144*100/L144,0)</f>
        <v>80.966976580383871</v>
      </c>
      <c r="P144" s="169">
        <f ca="1">IF(M144&gt;0,N144*100/M144,0)</f>
        <v>79.842239972217399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IFERROR(__xludf.DUMMYFUNCTION("IMPORTRANGE(""https://docs.google.com/spreadsheets/d/1Yj_ptqi66GCucihVvJfMjLAmec39IyEx_6qawtMGysU/edit?usp=sharing"",""สบก!BF66"")"),310700)</f>
        <v>310700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IFERROR(__xludf.DUMMYFUNCTION("IMPORTRANGE(""https://docs.google.com/spreadsheets/d/1Yj_ptqi66GCucihVvJfMjLAmec39IyEx_6qawtMGysU/edit?usp=sharing"",""สบก!BG66"")"),257200)</f>
        <v>257200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564" t="s">
        <v>23</v>
      </c>
      <c r="E147" s="565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IFERROR(__xludf.DUMMYFUNCTION("IMPORTRANGE(""https://docs.google.com/spreadsheets/d/1Yj_ptqi66GCucihVvJfMjLAmec39IyEx_6qawtMGysU/edit?usp=sharing"",""สบก!BH66"")"),0)</f>
        <v>0</v>
      </c>
      <c r="M148" s="49"/>
      <c r="N148" s="49">
        <f ca="1">IFERROR(__xludf.DUMMYFUNCTION("IMPORTRANGE(""https://docs.google.com/spreadsheets/d/1Yj_ptqi66GCucihVvJfMjLAmec39IyEx_6qawtMGysU/edit?usp=sharing"",""สบก!BL66"")"),0)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IFERROR(__xludf.DUMMYFUNCTION("IMPORTRANGE(""https://docs.google.com/spreadsheets/d/1SX6NBoVAgQJ6U1MVXOaj8PK2l7WJ3RER9xtqwdhxkhw/edit?usp=sharing"",""นครปฐม!I74"")"),4)</f>
        <v>4</v>
      </c>
      <c r="J149" s="276">
        <f ca="1">IFERROR(__xludf.DUMMYFUNCTION("IMPORTRANGE(""https://docs.google.com/spreadsheets/d/1SX6NBoVAgQJ6U1MVXOaj8PK2l7WJ3RER9xtqwdhxkhw/edit?usp=sharing"",""นครปฐม!J74"")"),2)</f>
        <v>2</v>
      </c>
      <c r="K149" s="277">
        <f ca="1">IF(I149&gt;0,J149*100/I149,0)</f>
        <v>50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IFERROR(__xludf.DUMMYFUNCTION("IMPORTRANGE(""https://docs.google.com/spreadsheets/d/1SX6NBoVAgQJ6U1MVXOaj8PK2l7WJ3RER9xtqwdhxkhw/edit?usp=sharing"",""นครปฐม!J79"")"),0)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IFERROR(__xludf.DUMMYFUNCTION("IMPORTRANGE(""https://docs.google.com/spreadsheets/d/1SX6NBoVAgQJ6U1MVXOaj8PK2l7WJ3RER9xtqwdhxkhw/edit?usp=sharing"",""นครปฐม!J80"")"),1)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IFERROR(__xludf.DUMMYFUNCTION("IMPORTRANGE(""https://docs.google.com/spreadsheets/d/1SX6NBoVAgQJ6U1MVXOaj8PK2l7WJ3RER9xtqwdhxkhw/edit?usp=sharing"",""นครปฐม!J81"")"),1)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IFERROR(__xludf.DUMMYFUNCTION("IMPORTRANGE(""https://docs.google.com/spreadsheets/d/1SX6NBoVAgQJ6U1MVXOaj8PK2l7WJ3RER9xtqwdhxkhw/edit?usp=sharing"",""นครปฐม!J82"")"),1)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IFERROR(__xludf.DUMMYFUNCTION("IMPORTRANGE(""https://docs.google.com/spreadsheets/d/1SX6NBoVAgQJ6U1MVXOaj8PK2l7WJ3RER9xtqwdhxkhw/edit?usp=sharing"",""นครปฐม!I83"")"),4)</f>
        <v>4</v>
      </c>
      <c r="J158" s="189">
        <f ca="1">IFERROR(__xludf.DUMMYFUNCTION("IMPORTRANGE(""https://docs.google.com/spreadsheets/d/1SX6NBoVAgQJ6U1MVXOaj8PK2l7WJ3RER9xtqwdhxkhw/edit?usp=sharing"",""นครปฐม!J83"")"),2)</f>
        <v>2</v>
      </c>
      <c r="K158" s="163">
        <f ca="1">IF(I158&gt;0,J158*100/I158,0)</f>
        <v>50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IFERROR(__xludf.DUMMYFUNCTION("IMPORTRANGE(""https://docs.google.com/spreadsheets/d/1SX6NBoVAgQJ6U1MVXOaj8PK2l7WJ3RER9xtqwdhxkhw/edit?usp=sharing"",""นครปฐม!J84"")"),40)</f>
        <v>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IFERROR(__xludf.DUMMYFUNCTION("IMPORTRANGE(""https://docs.google.com/spreadsheets/d/1SX6NBoVAgQJ6U1MVXOaj8PK2l7WJ3RER9xtqwdhxkhw/edit?usp=sharing"",""นครปฐม!J85"")"),40)</f>
        <v>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IFERROR(__xludf.DUMMYFUNCTION("IMPORTRANGE(""https://docs.google.com/spreadsheets/d/1SX6NBoVAgQJ6U1MVXOaj8PK2l7WJ3RER9xtqwdhxkhw/edit?usp=sharing"",""นครปฐม!J86"")"),0)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IFERROR(__xludf.DUMMYFUNCTION("IMPORTRANGE(""https://docs.google.com/spreadsheets/d/1SX6NBoVAgQJ6U1MVXOaj8PK2l7WJ3RER9xtqwdhxkhw/edit?usp=sharing"",""นครปฐม!J87"")"),0)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IFERROR(__xludf.DUMMYFUNCTION("IMPORTRANGE(""https://docs.google.com/spreadsheets/d/1SX6NBoVAgQJ6U1MVXOaj8PK2l7WJ3RER9xtqwdhxkhw/edit?usp=sharing"",""นครปฐม!J88"")"),0)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IFERROR(__xludf.DUMMYFUNCTION("IMPORTRANGE(""https://docs.google.com/spreadsheets/d/1SX6NBoVAgQJ6U1MVXOaj8PK2l7WJ3RER9xtqwdhxkhw/edit?usp=sharing"",""นครปฐม!I89"")"),3)</f>
        <v>3</v>
      </c>
      <c r="J164" s="285">
        <f ca="1">IFERROR(__xludf.DUMMYFUNCTION("IMPORTRANGE(""https://docs.google.com/spreadsheets/d/1SX6NBoVAgQJ6U1MVXOaj8PK2l7WJ3RER9xtqwdhxkhw/edit?usp=sharing"",""นครปฐม!J89"")"),3)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IFERROR(__xludf.DUMMYFUNCTION("IMPORTRANGE(""https://docs.google.com/spreadsheets/d/1SX6NBoVAgQJ6U1MVXOaj8PK2l7WJ3RER9xtqwdhxkhw/edit?usp=sharing"",""นครปฐม!J94"")"),0)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IFERROR(__xludf.DUMMYFUNCTION("IMPORTRANGE(""https://docs.google.com/spreadsheets/d/1SX6NBoVAgQJ6U1MVXOaj8PK2l7WJ3RER9xtqwdhxkhw/edit?usp=sharing"",""นครปฐม!J95"")"),1)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IFERROR(__xludf.DUMMYFUNCTION("IMPORTRANGE(""https://docs.google.com/spreadsheets/d/1SX6NBoVAgQJ6U1MVXOaj8PK2l7WJ3RER9xtqwdhxkhw/edit?usp=sharing"",""นครปฐม!J96"")"),1)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IFERROR(__xludf.DUMMYFUNCTION("IMPORTRANGE(""https://docs.google.com/spreadsheets/d/1SX6NBoVAgQJ6U1MVXOaj8PK2l7WJ3RER9xtqwdhxkhw/edit?usp=sharing"",""นครปฐม!J97"")"),1)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IFERROR(__xludf.DUMMYFUNCTION("IMPORTRANGE(""https://docs.google.com/spreadsheets/d/1SX6NBoVAgQJ6U1MVXOaj8PK2l7WJ3RER9xtqwdhxkhw/edit?usp=sharing"",""นครปฐม!I98"")"),3)</f>
        <v>3</v>
      </c>
      <c r="J173" s="189">
        <f ca="1">IFERROR(__xludf.DUMMYFUNCTION("IMPORTRANGE(""https://docs.google.com/spreadsheets/d/1SX6NBoVAgQJ6U1MVXOaj8PK2l7WJ3RER9xtqwdhxkhw/edit?usp=sharing"",""นครปฐม!J98"")"),3)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IFERROR(__xludf.DUMMYFUNCTION("IMPORTRANGE(""https://docs.google.com/spreadsheets/d/1SX6NBoVAgQJ6U1MVXOaj8PK2l7WJ3RER9xtqwdhxkhw/edit?usp=sharing"",""นครปฐม!J99"")"),0)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IFERROR(__xludf.DUMMYFUNCTION("IMPORTRANGE(""https://docs.google.com/spreadsheets/d/1SX6NBoVAgQJ6U1MVXOaj8PK2l7WJ3RER9xtqwdhxkhw/edit?usp=sharing"",""นครปฐม!J100"")"),0)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IFERROR(__xludf.DUMMYFUNCTION("IMPORTRANGE(""https://docs.google.com/spreadsheets/d/1SX6NBoVAgQJ6U1MVXOaj8PK2l7WJ3RER9xtqwdhxkhw/edit?usp=sharing"",""นครปฐม!I101"")"),0)</f>
        <v>0</v>
      </c>
      <c r="J176" s="285">
        <f ca="1">IFERROR(__xludf.DUMMYFUNCTION("IMPORTRANGE(""https://docs.google.com/spreadsheets/d/1SX6NBoVAgQJ6U1MVXOaj8PK2l7WJ3RER9xtqwdhxkhw/edit?usp=sharing"",""นครปฐม!J101"")"),0)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IFERROR(__xludf.DUMMYFUNCTION("IMPORTRANGE(""https://docs.google.com/spreadsheets/d/1SX6NBoVAgQJ6U1MVXOaj8PK2l7WJ3RER9xtqwdhxkhw/edit?usp=sharing"",""นครปฐม!J106"")"),0)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IFERROR(__xludf.DUMMYFUNCTION("IMPORTRANGE(""https://docs.google.com/spreadsheets/d/1SX6NBoVAgQJ6U1MVXOaj8PK2l7WJ3RER9xtqwdhxkhw/edit?usp=sharing"",""นครปฐม!J107"")"),0)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IFERROR(__xludf.DUMMYFUNCTION("IMPORTRANGE(""https://docs.google.com/spreadsheets/d/1SX6NBoVAgQJ6U1MVXOaj8PK2l7WJ3RER9xtqwdhxkhw/edit?usp=sharing"",""นครปฐม!J108"")"),0)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IFERROR(__xludf.DUMMYFUNCTION("IMPORTRANGE(""https://docs.google.com/spreadsheets/d/1SX6NBoVAgQJ6U1MVXOaj8PK2l7WJ3RER9xtqwdhxkhw/edit?usp=sharing"",""นครปฐม!J109"")"),0)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IFERROR(__xludf.DUMMYFUNCTION("IMPORTRANGE(""https://docs.google.com/spreadsheets/d/1SX6NBoVAgQJ6U1MVXOaj8PK2l7WJ3RER9xtqwdhxkhw/edit?usp=sharing"",""นครปฐม!I110"")"),0)</f>
        <v>0</v>
      </c>
      <c r="J185" s="204">
        <f ca="1">IFERROR(__xludf.DUMMYFUNCTION("IMPORTRANGE(""https://docs.google.com/spreadsheets/d/1SX6NBoVAgQJ6U1MVXOaj8PK2l7WJ3RER9xtqwdhxkhw/edit?usp=sharing"",""นครปฐม!J110"")"),0)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IFERROR(__xludf.DUMMYFUNCTION("IMPORTRANGE(""https://docs.google.com/spreadsheets/d/1SX6NBoVAgQJ6U1MVXOaj8PK2l7WJ3RER9xtqwdhxkhw/edit?usp=sharing"",""นครปฐม!I111"")"),0)</f>
        <v>0</v>
      </c>
      <c r="J186" s="204">
        <f ca="1">IFERROR(__xludf.DUMMYFUNCTION("IMPORTRANGE(""https://docs.google.com/spreadsheets/d/1SX6NBoVAgQJ6U1MVXOaj8PK2l7WJ3RER9xtqwdhxkhw/edit?usp=sharing"",""นครปฐม!J111"")"),0)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IFERROR(__xludf.DUMMYFUNCTION("IMPORTRANGE(""https://docs.google.com/spreadsheets/d/1SX6NBoVAgQJ6U1MVXOaj8PK2l7WJ3RER9xtqwdhxkhw/edit?usp=sharing"",""นครปฐม!J112"")"),0)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IFERROR(__xludf.DUMMYFUNCTION("IMPORTRANGE(""https://docs.google.com/spreadsheets/d/1SX6NBoVAgQJ6U1MVXOaj8PK2l7WJ3RER9xtqwdhxkhw/edit?usp=sharing"",""นครปฐม!J113"")"),0)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IFERROR(__xludf.DUMMYFUNCTION("IMPORTRANGE(""https://docs.google.com/spreadsheets/d/1SX6NBoVAgQJ6U1MVXOaj8PK2l7WJ3RER9xtqwdhxkhw/edit?usp=sharing"",""นครปฐม!I114"")"),5000)</f>
        <v>5000</v>
      </c>
      <c r="J189" s="285">
        <f ca="1">IFERROR(__xludf.DUMMYFUNCTION("IMPORTRANGE(""https://docs.google.com/spreadsheets/d/1SX6NBoVAgQJ6U1MVXOaj8PK2l7WJ3RER9xtqwdhxkhw/edit?usp=sharing"",""นครปฐม!J114"")"),1)</f>
        <v>1</v>
      </c>
      <c r="K189" s="286">
        <f ca="1">IF(I189&gt;0,J189*100/I189,0)</f>
        <v>0.02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IFERROR(__xludf.DUMMYFUNCTION("IMPORTRANGE(""https://docs.google.com/spreadsheets/d/1SX6NBoVAgQJ6U1MVXOaj8PK2l7WJ3RER9xtqwdhxkhw/edit?usp=sharing"",""นครปฐม!J119"")"),0)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IFERROR(__xludf.DUMMYFUNCTION("IMPORTRANGE(""https://docs.google.com/spreadsheets/d/1SX6NBoVAgQJ6U1MVXOaj8PK2l7WJ3RER9xtqwdhxkhw/edit?usp=sharing"",""นครปฐม!J120"")"),1)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IFERROR(__xludf.DUMMYFUNCTION("IMPORTRANGE(""https://docs.google.com/spreadsheets/d/1SX6NBoVAgQJ6U1MVXOaj8PK2l7WJ3RER9xtqwdhxkhw/edit?usp=sharing"",""นครปฐม!J121"")"),1)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IFERROR(__xludf.DUMMYFUNCTION("IMPORTRANGE(""https://docs.google.com/spreadsheets/d/1SX6NBoVAgQJ6U1MVXOaj8PK2l7WJ3RER9xtqwdhxkhw/edit?usp=sharing"",""นครปฐม!J122"")"),1)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IFERROR(__xludf.DUMMYFUNCTION("IMPORTRANGE(""https://docs.google.com/spreadsheets/d/1SX6NBoVAgQJ6U1MVXOaj8PK2l7WJ3RER9xtqwdhxkhw/edit?usp=sharing"",""นครปฐม!I124"")"),5000)</f>
        <v>5000</v>
      </c>
      <c r="J199" s="189">
        <f ca="1">IFERROR(__xludf.DUMMYFUNCTION("IMPORTRANGE(""https://docs.google.com/spreadsheets/d/1SX6NBoVAgQJ6U1MVXOaj8PK2l7WJ3RER9xtqwdhxkhw/edit?usp=sharing"",""นครปฐม!J124"")"),1)</f>
        <v>1</v>
      </c>
      <c r="K199" s="163">
        <f t="shared" ref="K199:K201" ca="1" si="70">IF(I199&gt;0,J199*100/I199,0)</f>
        <v>0.02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IFERROR(__xludf.DUMMYFUNCTION("IMPORTRANGE(""https://docs.google.com/spreadsheets/d/1SX6NBoVAgQJ6U1MVXOaj8PK2l7WJ3RER9xtqwdhxkhw/edit?usp=sharing"",""นครปฐม!I125"")"),5000)</f>
        <v>5000</v>
      </c>
      <c r="J200" s="189">
        <f ca="1">IFERROR(__xludf.DUMMYFUNCTION("IMPORTRANGE(""https://docs.google.com/spreadsheets/d/1SX6NBoVAgQJ6U1MVXOaj8PK2l7WJ3RER9xtqwdhxkhw/edit?usp=sharing"",""นครปฐม!J125"")"),1)</f>
        <v>1</v>
      </c>
      <c r="K200" s="163">
        <f t="shared" ca="1" si="70"/>
        <v>0.02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IFERROR(__xludf.DUMMYFUNCTION("IMPORTRANGE(""https://docs.google.com/spreadsheets/d/1SX6NBoVAgQJ6U1MVXOaj8PK2l7WJ3RER9xtqwdhxkhw/edit?usp=sharing"",""นครปฐม!I126"")"),0)</f>
        <v>0</v>
      </c>
      <c r="J201" s="189">
        <f ca="1">IFERROR(__xludf.DUMMYFUNCTION("IMPORTRANGE(""https://docs.google.com/spreadsheets/d/1SX6NBoVAgQJ6U1MVXOaj8PK2l7WJ3RER9xtqwdhxkhw/edit?usp=sharing"",""นครปฐม!J126"")"),0)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IFERROR(__xludf.DUMMYFUNCTION("IMPORTRANGE(""https://docs.google.com/spreadsheets/d/1SX6NBoVAgQJ6U1MVXOaj8PK2l7WJ3RER9xtqwdhxkhw/edit?usp=sharing"",""นครปฐม!J127"")"),0)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IFERROR(__xludf.DUMMYFUNCTION("IMPORTRANGE(""https://docs.google.com/spreadsheets/d/1SX6NBoVAgQJ6U1MVXOaj8PK2l7WJ3RER9xtqwdhxkhw/edit?usp=sharing"",""นครปฐม!J128"")"),0)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IFERROR(__xludf.DUMMYFUNCTION("IMPORTRANGE(""https://docs.google.com/spreadsheets/d/1SX6NBoVAgQJ6U1MVXOaj8PK2l7WJ3RER9xtqwdhxkhw/edit?usp=sharing"",""นครปฐม!I129"")"),20)</f>
        <v>20</v>
      </c>
      <c r="J204" s="285">
        <f ca="1">IFERROR(__xludf.DUMMYFUNCTION("IMPORTRANGE(""https://docs.google.com/spreadsheets/d/1SX6NBoVAgQJ6U1MVXOaj8PK2l7WJ3RER9xtqwdhxkhw/edit?usp=sharing"",""นครปฐม!J129"")"),20)</f>
        <v>20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IFERROR(__xludf.DUMMYFUNCTION("IMPORTRANGE(""https://docs.google.com/spreadsheets/d/1SX6NBoVAgQJ6U1MVXOaj8PK2l7WJ3RER9xtqwdhxkhw/edit?usp=sharing"",""นครปฐม!J134"")"),0)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IFERROR(__xludf.DUMMYFUNCTION("IMPORTRANGE(""https://docs.google.com/spreadsheets/d/1SX6NBoVAgQJ6U1MVXOaj8PK2l7WJ3RER9xtqwdhxkhw/edit?usp=sharing"",""นครปฐม!J135"")"),1)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IFERROR(__xludf.DUMMYFUNCTION("IMPORTRANGE(""https://docs.google.com/spreadsheets/d/1SX6NBoVAgQJ6U1MVXOaj8PK2l7WJ3RER9xtqwdhxkhw/edit?usp=sharing"",""นครปฐม!J136"")"),1)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IFERROR(__xludf.DUMMYFUNCTION("IMPORTRANGE(""https://docs.google.com/spreadsheets/d/1SX6NBoVAgQJ6U1MVXOaj8PK2l7WJ3RER9xtqwdhxkhw/edit?usp=sharing"",""นครปฐม!J137"")"),1)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IFERROR(__xludf.DUMMYFUNCTION("IMPORTRANGE(""https://docs.google.com/spreadsheets/d/1SX6NBoVAgQJ6U1MVXOaj8PK2l7WJ3RER9xtqwdhxkhw/edit?usp=sharing"",""นครปฐม!I138"")"),20)</f>
        <v>20</v>
      </c>
      <c r="J213" s="204">
        <f ca="1">IFERROR(__xludf.DUMMYFUNCTION("IMPORTRANGE(""https://docs.google.com/spreadsheets/d/1SX6NBoVAgQJ6U1MVXOaj8PK2l7WJ3RER9xtqwdhxkhw/edit?usp=sharing"",""นครปฐม!J138"")"),20)</f>
        <v>20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IFERROR(__xludf.DUMMYFUNCTION("IMPORTRANGE(""https://docs.google.com/spreadsheets/d/1SX6NBoVAgQJ6U1MVXOaj8PK2l7WJ3RER9xtqwdhxkhw/edit?usp=sharing"",""นครปฐม!I140"")"),0)</f>
        <v>0</v>
      </c>
      <c r="J215" s="204">
        <f ca="1">IFERROR(__xludf.DUMMYFUNCTION("IMPORTRANGE(""https://docs.google.com/spreadsheets/d/1SX6NBoVAgQJ6U1MVXOaj8PK2l7WJ3RER9xtqwdhxkhw/edit?usp=sharing"",""นครปฐม!J140"")"),0)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IFERROR(__xludf.DUMMYFUNCTION("IMPORTRANGE(""https://docs.google.com/spreadsheets/d/1SX6NBoVAgQJ6U1MVXOaj8PK2l7WJ3RER9xtqwdhxkhw/edit?usp=sharing"",""นครปฐม!I141"")"),1)</f>
        <v>1</v>
      </c>
      <c r="J216" s="204">
        <f ca="1">IFERROR(__xludf.DUMMYFUNCTION("IMPORTRANGE(""https://docs.google.com/spreadsheets/d/1SX6NBoVAgQJ6U1MVXOaj8PK2l7WJ3RER9xtqwdhxkhw/edit?usp=sharing"",""นครปฐม!J141"")"),0)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IFERROR(__xludf.DUMMYFUNCTION("IMPORTRANGE(""https://docs.google.com/spreadsheets/d/1SX6NBoVAgQJ6U1MVXOaj8PK2l7WJ3RER9xtqwdhxkhw/edit?usp=sharing"",""นครปฐม!J142"")"),0)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IFERROR(__xludf.DUMMYFUNCTION("IMPORTRANGE(""https://docs.google.com/spreadsheets/d/1SX6NBoVAgQJ6U1MVXOaj8PK2l7WJ3RER9xtqwdhxkhw/edit?usp=sharing"",""นครปฐม!J143"")"),0)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IFERROR(__xludf.DUMMYFUNCTION("IMPORTRANGE(""https://docs.google.com/spreadsheets/d/1SX6NBoVAgQJ6U1MVXOaj8PK2l7WJ3RER9xtqwdhxkhw/edit?usp=sharing"",""นครปฐม!I144"")"),13)</f>
        <v>13</v>
      </c>
      <c r="J219" s="268">
        <f ca="1">IFERROR(__xludf.DUMMYFUNCTION("IMPORTRANGE(""https://docs.google.com/spreadsheets/d/1SX6NBoVAgQJ6U1MVXOaj8PK2l7WJ3RER9xtqwdhxkhw/edit?usp=sharing"",""นครปฐม!J144"")"),13)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562" t="s">
        <v>17</v>
      </c>
      <c r="E220" s="563"/>
      <c r="F220" s="563"/>
      <c r="G220" s="563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19295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19295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564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168">
        <f ca="1">IFERROR(__xludf.DUMMYFUNCTION("IMPORTRANGE(""https://docs.google.com/spreadsheets/d/1Yj_ptqi66GCucihVvJfMjLAmec39IyEx_6qawtMGysU/edit?usp=sharing"",""สบก!BS66"")"),19295)</f>
        <v>19295</v>
      </c>
      <c r="N224" s="169">
        <f ca="1">IFERROR(__xludf.DUMMYFUNCTION("IMPORTRANGE(""https://docs.google.com/spreadsheets/d/1Yj_ptqi66GCucihVvJfMjLAmec39IyEx_6qawtMGysU/edit?usp=sharing"",""สบก!BT66"")"),19295)</f>
        <v>19295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IFERROR(__xludf.DUMMYFUNCTION("IMPORTRANGE(""https://docs.google.com/spreadsheets/d/1Yj_ptqi66GCucihVvJfMjLAmec39IyEx_6qawtMGysU/edit?usp=sharing"",""สบก!BO66"")"),0)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IFERROR(__xludf.DUMMYFUNCTION("IMPORTRANGE(""https://docs.google.com/spreadsheets/d/1Yj_ptqi66GCucihVvJfMjLAmec39IyEx_6qawtMGysU/edit?usp=sharing"",""สบก!BP66"")"),19295)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564" t="s">
        <v>23</v>
      </c>
      <c r="E227" s="565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IFERROR(__xludf.DUMMYFUNCTION("IMPORTRANGE(""https://docs.google.com/spreadsheets/d/1Yj_ptqi66GCucihVvJfMjLAmec39IyEx_6qawtMGysU/edit?usp=sharing"",""สบก!BQ66"")"),0)</f>
        <v>0</v>
      </c>
      <c r="M228" s="49"/>
      <c r="N228" s="49">
        <f ca="1">IFERROR(__xludf.DUMMYFUNCTION("IMPORTRANGE(""https://docs.google.com/spreadsheets/d/1Yj_ptqi66GCucihVvJfMjLAmec39IyEx_6qawtMGysU/edit?usp=sharing"",""สบก!BU66"")"),0)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IFERROR(__xludf.DUMMYFUNCTION("IMPORTRANGE(""https://docs.google.com/spreadsheets/d/1SX6NBoVAgQJ6U1MVXOaj8PK2l7WJ3RER9xtqwdhxkhw/edit?usp=sharing"",""นครปฐม!I149"")"),13)</f>
        <v>13</v>
      </c>
      <c r="J229" s="268">
        <f ca="1">IFERROR(__xludf.DUMMYFUNCTION("IMPORTRANGE(""https://docs.google.com/spreadsheets/d/1SX6NBoVAgQJ6U1MVXOaj8PK2l7WJ3RER9xtqwdhxkhw/edit?usp=sharing"",""นครปฐม!J149"")"),13)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IFERROR(__xludf.DUMMYFUNCTION("IMPORTRANGE(""https://docs.google.com/spreadsheets/d/1SX6NBoVAgQJ6U1MVXOaj8PK2l7WJ3RER9xtqwdhxkhw/edit?usp=sharing"",""นครปฐม!J151"")"),0)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IFERROR(__xludf.DUMMYFUNCTION("IMPORTRANGE(""https://docs.google.com/spreadsheets/d/1SX6NBoVAgQJ6U1MVXOaj8PK2l7WJ3RER9xtqwdhxkhw/edit?usp=sharing"",""นครปฐม!J152"")"),0)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IFERROR(__xludf.DUMMYFUNCTION("IMPORTRANGE(""https://docs.google.com/spreadsheets/d/1SX6NBoVAgQJ6U1MVXOaj8PK2l7WJ3RER9xtqwdhxkhw/edit?usp=sharing"",""นครปฐม!J153"")"),0)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IFERROR(__xludf.DUMMYFUNCTION("IMPORTRANGE(""https://docs.google.com/spreadsheets/d/1SX6NBoVAgQJ6U1MVXOaj8PK2l7WJ3RER9xtqwdhxkhw/edit?usp=sharing"",""นครปฐม!J154"")"),0)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IFERROR(__xludf.DUMMYFUNCTION("IMPORTRANGE(""https://docs.google.com/spreadsheets/d/1SX6NBoVAgQJ6U1MVXOaj8PK2l7WJ3RER9xtqwdhxkhw/edit?usp=sharing"",""นครปฐม!I155"")"),13)</f>
        <v>13</v>
      </c>
      <c r="J235" s="189">
        <f ca="1">IFERROR(__xludf.DUMMYFUNCTION("IMPORTRANGE(""https://docs.google.com/spreadsheets/d/1SX6NBoVAgQJ6U1MVXOaj8PK2l7WJ3RER9xtqwdhxkhw/edit?usp=sharing"",""นครปฐม!J155"")"),13)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IFERROR(__xludf.DUMMYFUNCTION("IMPORTRANGE(""https://docs.google.com/spreadsheets/d/1SX6NBoVAgQJ6U1MVXOaj8PK2l7WJ3RER9xtqwdhxkhw/edit?usp=sharing"",""นครปฐม!J156"")"),0)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IFERROR(__xludf.DUMMYFUNCTION("IMPORTRANGE(""https://docs.google.com/spreadsheets/d/1SX6NBoVAgQJ6U1MVXOaj8PK2l7WJ3RER9xtqwdhxkhw/edit?usp=sharing"",""นครปฐม!J157"")"),1)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IFERROR(__xludf.DUMMYFUNCTION("IMPORTRANGE(""https://docs.google.com/spreadsheets/d/1SX6NBoVAgQJ6U1MVXOaj8PK2l7WJ3RER9xtqwdhxkhw/edit?usp=sharing"",""นครปฐม!I158"")"),0)</f>
        <v>0</v>
      </c>
      <c r="J238" s="268">
        <f ca="1">IFERROR(__xludf.DUMMYFUNCTION("IMPORTRANGE(""https://docs.google.com/spreadsheets/d/1SX6NBoVAgQJ6U1MVXOaj8PK2l7WJ3RER9xtqwdhxkhw/edit?usp=sharing"",""นครปฐม!J158"")"),0)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IFERROR(__xludf.DUMMYFUNCTION("IMPORTRANGE(""https://docs.google.com/spreadsheets/d/1SX6NBoVAgQJ6U1MVXOaj8PK2l7WJ3RER9xtqwdhxkhw/edit?usp=sharing"",""นครปฐม!J159"")"),"")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IFERROR(__xludf.DUMMYFUNCTION("IMPORTRANGE(""https://docs.google.com/spreadsheets/d/1SX6NBoVAgQJ6U1MVXOaj8PK2l7WJ3RER9xtqwdhxkhw/edit?usp=sharing"",""นครปฐม!J161"")"),0)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IFERROR(__xludf.DUMMYFUNCTION("IMPORTRANGE(""https://docs.google.com/spreadsheets/d/1SX6NBoVAgQJ6U1MVXOaj8PK2l7WJ3RER9xtqwdhxkhw/edit?usp=sharing"",""นครปฐม!J162"")"),0)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IFERROR(__xludf.DUMMYFUNCTION("IMPORTRANGE(""https://docs.google.com/spreadsheets/d/1SX6NBoVAgQJ6U1MVXOaj8PK2l7WJ3RER9xtqwdhxkhw/edit?usp=sharing"",""นครปฐม!J163"")"),0)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IFERROR(__xludf.DUMMYFUNCTION("IMPORTRANGE(""https://docs.google.com/spreadsheets/d/1SX6NBoVAgQJ6U1MVXOaj8PK2l7WJ3RER9xtqwdhxkhw/edit?usp=sharing"",""นครปฐม!I164"")"),0)</f>
        <v>0</v>
      </c>
      <c r="J244" s="188">
        <f ca="1">IFERROR(__xludf.DUMMYFUNCTION("IMPORTRANGE(""https://docs.google.com/spreadsheets/d/1SX6NBoVAgQJ6U1MVXOaj8PK2l7WJ3RER9xtqwdhxkhw/edit?usp=sharing"",""นครปฐม!J164"")"),0)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IFERROR(__xludf.DUMMYFUNCTION("IMPORTRANGE(""https://docs.google.com/spreadsheets/d/1SX6NBoVAgQJ6U1MVXOaj8PK2l7WJ3RER9xtqwdhxkhw/edit?usp=sharing"",""นครปฐม!J165"")"),0)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IFERROR(__xludf.DUMMYFUNCTION("IMPORTRANGE(""https://docs.google.com/spreadsheets/d/1SX6NBoVAgQJ6U1MVXOaj8PK2l7WJ3RER9xtqwdhxkhw/edit?usp=sharing"",""นครปฐม!J166"")"),0)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IFERROR(__xludf.DUMMYFUNCTION("IMPORTRANGE(""https://docs.google.com/spreadsheets/d/1SX6NBoVAgQJ6U1MVXOaj8PK2l7WJ3RER9xtqwdhxkhw/edit?usp=sharing"",""นครปฐม!I169"")"),0)</f>
        <v>0</v>
      </c>
      <c r="J249" s="317">
        <f ca="1">IFERROR(__xludf.DUMMYFUNCTION("IMPORTRANGE(""https://docs.google.com/spreadsheets/d/1SX6NBoVAgQJ6U1MVXOaj8PK2l7WJ3RER9xtqwdhxkhw/edit?usp=sharing"",""นครปฐม!J169"")"),0)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562" t="s">
        <v>17</v>
      </c>
      <c r="E250" s="563"/>
      <c r="F250" s="563"/>
      <c r="G250" s="563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564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IFERROR(__xludf.DUMMYFUNCTION("IMPORTRANGE(""https://docs.google.com/spreadsheets/d/1Yj_ptqi66GCucihVvJfMjLAmec39IyEx_6qawtMGysU/edit?usp=sharing"",""สบก!CB66"")"),0)</f>
        <v>0</v>
      </c>
      <c r="N254" s="169">
        <f ca="1">IFERROR(__xludf.DUMMYFUNCTION("IMPORTRANGE(""https://docs.google.com/spreadsheets/d/1Yj_ptqi66GCucihVvJfMjLAmec39IyEx_6qawtMGysU/edit?usp=sharing"",""สบก!CC66"")"),0)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IFERROR(__xludf.DUMMYFUNCTION("IMPORTRANGE(""https://docs.google.com/spreadsheets/d/1Yj_ptqi66GCucihVvJfMjLAmec39IyEx_6qawtMGysU/edit?usp=sharing"",""สบก!BX66"")"),0)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IFERROR(__xludf.DUMMYFUNCTION("IMPORTRANGE(""https://docs.google.com/spreadsheets/d/1Yj_ptqi66GCucihVvJfMjLAmec39IyEx_6qawtMGysU/edit?usp=sharing"",""สบก!BY66"")"),0)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564" t="s">
        <v>23</v>
      </c>
      <c r="E257" s="565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IFERROR(__xludf.DUMMYFUNCTION("IMPORTRANGE(""https://docs.google.com/spreadsheets/d/1Yj_ptqi66GCucihVvJfMjLAmec39IyEx_6qawtMGysU/edit?usp=sharing"",""สบก!BZ66"")"),0)</f>
        <v>0</v>
      </c>
      <c r="M258" s="49"/>
      <c r="N258" s="49">
        <f ca="1">IFERROR(__xludf.DUMMYFUNCTION("IMPORTRANGE(""https://docs.google.com/spreadsheets/d/1Yj_ptqi66GCucihVvJfMjLAmec39IyEx_6qawtMGysU/edit?usp=sharing"",""สบก!CD66"")"),0)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IFERROR(__xludf.DUMMYFUNCTION("IMPORTRANGE(""https://docs.google.com/spreadsheets/d/1SX6NBoVAgQJ6U1MVXOaj8PK2l7WJ3RER9xtqwdhxkhw/edit?usp=sharing"",""นครปฐม!J175"")"),0)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IFERROR(__xludf.DUMMYFUNCTION("IMPORTRANGE(""https://docs.google.com/spreadsheets/d/1SX6NBoVAgQJ6U1MVXOaj8PK2l7WJ3RER9xtqwdhxkhw/edit?usp=sharing"",""นครปฐม!J176"")"),0)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IFERROR(__xludf.DUMMYFUNCTION("IMPORTRANGE(""https://docs.google.com/spreadsheets/d/1SX6NBoVAgQJ6U1MVXOaj8PK2l7WJ3RER9xtqwdhxkhw/edit?usp=sharing"",""นครปฐม!J177"")"),0)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IFERROR(__xludf.DUMMYFUNCTION("IMPORTRANGE(""https://docs.google.com/spreadsheets/d/1SX6NBoVAgQJ6U1MVXOaj8PK2l7WJ3RER9xtqwdhxkhw/edit?usp=sharing"",""นครปฐม!J178"")"),0)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IFERROR(__xludf.DUMMYFUNCTION("IMPORTRANGE(""https://docs.google.com/spreadsheets/d/1SX6NBoVAgQJ6U1MVXOaj8PK2l7WJ3RER9xtqwdhxkhw/edit?usp=sharing"",""นครปฐม!I179"")"),0)</f>
        <v>0</v>
      </c>
      <c r="J264" s="189">
        <f ca="1">IFERROR(__xludf.DUMMYFUNCTION("IMPORTRANGE(""https://docs.google.com/spreadsheets/d/1SX6NBoVAgQJ6U1MVXOaj8PK2l7WJ3RER9xtqwdhxkhw/edit?usp=sharing"",""นครปฐม!J179"")"),0)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IFERROR(__xludf.DUMMYFUNCTION("IMPORTRANGE(""https://docs.google.com/spreadsheets/d/1SX6NBoVAgQJ6U1MVXOaj8PK2l7WJ3RER9xtqwdhxkhw/edit?usp=sharing"",""นครปฐม!I180"")"),0)</f>
        <v>0</v>
      </c>
      <c r="J265" s="189">
        <f ca="1">IFERROR(__xludf.DUMMYFUNCTION("IMPORTRANGE(""https://docs.google.com/spreadsheets/d/1SX6NBoVAgQJ6U1MVXOaj8PK2l7WJ3RER9xtqwdhxkhw/edit?usp=sharing"",""นครปฐม!J180"")"),0)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IFERROR(__xludf.DUMMYFUNCTION("IMPORTRANGE(""https://docs.google.com/spreadsheets/d/1SX6NBoVAgQJ6U1MVXOaj8PK2l7WJ3RER9xtqwdhxkhw/edit?usp=sharing"",""นครปฐม!I181"")"),0)</f>
        <v>0</v>
      </c>
      <c r="J266" s="189">
        <f ca="1">IFERROR(__xludf.DUMMYFUNCTION("IMPORTRANGE(""https://docs.google.com/spreadsheets/d/1SX6NBoVAgQJ6U1MVXOaj8PK2l7WJ3RER9xtqwdhxkhw/edit?usp=sharing"",""นครปฐม!J181"")"),0)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IFERROR(__xludf.DUMMYFUNCTION("IMPORTRANGE(""https://docs.google.com/spreadsheets/d/1SX6NBoVAgQJ6U1MVXOaj8PK2l7WJ3RER9xtqwdhxkhw/edit?usp=sharing"",""นครปฐม!I182"")"),0)</f>
        <v>0</v>
      </c>
      <c r="J267" s="189">
        <f ca="1">IFERROR(__xludf.DUMMYFUNCTION("IMPORTRANGE(""https://docs.google.com/spreadsheets/d/1SX6NBoVAgQJ6U1MVXOaj8PK2l7WJ3RER9xtqwdhxkhw/edit?usp=sharing"",""นครปฐม!J182"")"),0)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IFERROR(__xludf.DUMMYFUNCTION("IMPORTRANGE(""https://docs.google.com/spreadsheets/d/1SX6NBoVAgQJ6U1MVXOaj8PK2l7WJ3RER9xtqwdhxkhw/edit?usp=sharing"",""นครปฐม!J183"")"),0)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IFERROR(__xludf.DUMMYFUNCTION("IMPORTRANGE(""https://docs.google.com/spreadsheets/d/1SX6NBoVAgQJ6U1MVXOaj8PK2l7WJ3RER9xtqwdhxkhw/edit?usp=sharing"",""นครปฐม!J184"")"),0)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IFERROR(__xludf.DUMMYFUNCTION("IMPORTRANGE(""https://docs.google.com/spreadsheets/d/1SX6NBoVAgQJ6U1MVXOaj8PK2l7WJ3RER9xtqwdhxkhw/edit?usp=sharing"",""นครปฐม!I185"")"),0)</f>
        <v>0</v>
      </c>
      <c r="J270" s="317">
        <f ca="1">IFERROR(__xludf.DUMMYFUNCTION("IMPORTRANGE(""https://docs.google.com/spreadsheets/d/1SX6NBoVAgQJ6U1MVXOaj8PK2l7WJ3RER9xtqwdhxkhw/edit?usp=sharing"",""นครปฐม!J185"")"),0)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562" t="s">
        <v>17</v>
      </c>
      <c r="E271" s="563"/>
      <c r="F271" s="563"/>
      <c r="G271" s="563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564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IFERROR(__xludf.DUMMYFUNCTION("IMPORTRANGE(""https://docs.google.com/spreadsheets/d/1Yj_ptqi66GCucihVvJfMjLAmec39IyEx_6qawtMGysU/edit?usp=sharing"",""สบก!CK66"")"),0)</f>
        <v>0</v>
      </c>
      <c r="N275" s="169">
        <f ca="1">IFERROR(__xludf.DUMMYFUNCTION("IMPORTRANGE(""https://docs.google.com/spreadsheets/d/1Yj_ptqi66GCucihVvJfMjLAmec39IyEx_6qawtMGysU/edit?usp=sharing"",""สบก!CL66"")"),0)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IFERROR(__xludf.DUMMYFUNCTION("IMPORTRANGE(""https://docs.google.com/spreadsheets/d/1Yj_ptqi66GCucihVvJfMjLAmec39IyEx_6qawtMGysU/edit?usp=sharing"",""สบก!CG66"")"),0)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IFERROR(__xludf.DUMMYFUNCTION("IMPORTRANGE(""https://docs.google.com/spreadsheets/d/1Yj_ptqi66GCucihVvJfMjLAmec39IyEx_6qawtMGysU/edit?usp=sharing"",""สบก!CH66"")"),0)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564" t="s">
        <v>23</v>
      </c>
      <c r="E278" s="565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IFERROR(__xludf.DUMMYFUNCTION("IMPORTRANGE(""https://docs.google.com/spreadsheets/d/1Yj_ptqi66GCucihVvJfMjLAmec39IyEx_6qawtMGysU/edit?usp=sharing"",""สบก!CI66"")"),0)</f>
        <v>0</v>
      </c>
      <c r="M279" s="49"/>
      <c r="N279" s="49">
        <f ca="1">IFERROR(__xludf.DUMMYFUNCTION("IMPORTRANGE(""https://docs.google.com/spreadsheets/d/1Yj_ptqi66GCucihVvJfMjLAmec39IyEx_6qawtMGysU/edit?usp=sharing"",""สบก!CM66"")"),0)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IFERROR(__xludf.DUMMYFUNCTION("IMPORTRANGE(""https://docs.google.com/spreadsheets/d/1SX6NBoVAgQJ6U1MVXOaj8PK2l7WJ3RER9xtqwdhxkhw/edit?usp=sharing"",""นครปฐม!J191"")"),0)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IFERROR(__xludf.DUMMYFUNCTION("IMPORTRANGE(""https://docs.google.com/spreadsheets/d/1SX6NBoVAgQJ6U1MVXOaj8PK2l7WJ3RER9xtqwdhxkhw/edit?usp=sharing"",""นครปฐม!J192"")"),0)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IFERROR(__xludf.DUMMYFUNCTION("IMPORTRANGE(""https://docs.google.com/spreadsheets/d/1SX6NBoVAgQJ6U1MVXOaj8PK2l7WJ3RER9xtqwdhxkhw/edit?usp=sharing"",""นครปฐม!J193"")"),0)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IFERROR(__xludf.DUMMYFUNCTION("IMPORTRANGE(""https://docs.google.com/spreadsheets/d/1SX6NBoVAgQJ6U1MVXOaj8PK2l7WJ3RER9xtqwdhxkhw/edit?usp=sharing"",""นครปฐม!J194"")"),0)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IFERROR(__xludf.DUMMYFUNCTION("IMPORTRANGE(""https://docs.google.com/spreadsheets/d/1SX6NBoVAgQJ6U1MVXOaj8PK2l7WJ3RER9xtqwdhxkhw/edit?usp=sharing"",""นครปฐม!I195"")"),0)</f>
        <v>0</v>
      </c>
      <c r="J285" s="189">
        <f ca="1">IFERROR(__xludf.DUMMYFUNCTION("IMPORTRANGE(""https://docs.google.com/spreadsheets/d/1SX6NBoVAgQJ6U1MVXOaj8PK2l7WJ3RER9xtqwdhxkhw/edit?usp=sharing"",""นครปฐม!J195"")"),0)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IFERROR(__xludf.DUMMYFUNCTION("IMPORTRANGE(""https://docs.google.com/spreadsheets/d/1SX6NBoVAgQJ6U1MVXOaj8PK2l7WJ3RER9xtqwdhxkhw/edit?usp=sharing"",""นครปฐม!J196"")"),0)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IFERROR(__xludf.DUMMYFUNCTION("IMPORTRANGE(""https://docs.google.com/spreadsheets/d/1SX6NBoVAgQJ6U1MVXOaj8PK2l7WJ3RER9xtqwdhxkhw/edit?usp=sharing"",""นครปฐม!J197"")"),0)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IFERROR(__xludf.DUMMYFUNCTION("IMPORTRANGE(""https://docs.google.com/spreadsheets/d/1SX6NBoVAgQJ6U1MVXOaj8PK2l7WJ3RER9xtqwdhxkhw/edit?usp=sharing"",""นครปฐม!I199"")"),0)</f>
        <v>0</v>
      </c>
      <c r="J289" s="317">
        <f ca="1">IFERROR(__xludf.DUMMYFUNCTION("IMPORTRANGE(""https://docs.google.com/spreadsheets/d/1SX6NBoVAgQJ6U1MVXOaj8PK2l7WJ3RER9xtqwdhxkhw/edit?usp=sharing"",""นครปฐม!J199"")"),0)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562" t="s">
        <v>17</v>
      </c>
      <c r="E290" s="563"/>
      <c r="F290" s="563"/>
      <c r="G290" s="563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564" t="s">
        <v>20</v>
      </c>
      <c r="E293" s="565"/>
      <c r="F293" s="565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IFERROR(__xludf.DUMMYFUNCTION("IMPORTRANGE(""https://docs.google.com/spreadsheets/d/1Yj_ptqi66GCucihVvJfMjLAmec39IyEx_6qawtMGysU/edit?usp=sharing"",""สบก!CT66"")"),0)</f>
        <v>0</v>
      </c>
      <c r="N294" s="169">
        <f ca="1">IFERROR(__xludf.DUMMYFUNCTION("IMPORTRANGE(""https://docs.google.com/spreadsheets/d/1Yj_ptqi66GCucihVvJfMjLAmec39IyEx_6qawtMGysU/edit?usp=sharing"",""สบก!CU66"")"),0)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IFERROR(__xludf.DUMMYFUNCTION("IMPORTRANGE(""https://docs.google.com/spreadsheets/d/1Yj_ptqi66GCucihVvJfMjLAmec39IyEx_6qawtMGysU/edit?usp=sharing"",""สบก!CP66"")"),0)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IFERROR(__xludf.DUMMYFUNCTION("IMPORTRANGE(""https://docs.google.com/spreadsheets/d/1Yj_ptqi66GCucihVvJfMjLAmec39IyEx_6qawtMGysU/edit?usp=sharing"",""สบก!CQ66"")"),0)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564" t="s">
        <v>23</v>
      </c>
      <c r="E297" s="565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IFERROR(__xludf.DUMMYFUNCTION("IMPORTRANGE(""https://docs.google.com/spreadsheets/d/1Yj_ptqi66GCucihVvJfMjLAmec39IyEx_6qawtMGysU/edit?usp=sharing"",""สบก!CR66"")"),0)</f>
        <v>0</v>
      </c>
      <c r="M298" s="49"/>
      <c r="N298" s="49">
        <f ca="1">IFERROR(__xludf.DUMMYFUNCTION("IMPORTRANGE(""https://docs.google.com/spreadsheets/d/1Yj_ptqi66GCucihVvJfMjLAmec39IyEx_6qawtMGysU/edit?usp=sharing"",""สบก!CV66"")"),0)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IFERROR(__xludf.DUMMYFUNCTION("IMPORTRANGE(""https://docs.google.com/spreadsheets/d/1SX6NBoVAgQJ6U1MVXOaj8PK2l7WJ3RER9xtqwdhxkhw/edit?usp=sharing"",""นครปฐม!J205"")"),0)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IFERROR(__xludf.DUMMYFUNCTION("IMPORTRANGE(""https://docs.google.com/spreadsheets/d/1SX6NBoVAgQJ6U1MVXOaj8PK2l7WJ3RER9xtqwdhxkhw/edit?usp=sharing"",""นครปฐม!J206"")"),0)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IFERROR(__xludf.DUMMYFUNCTION("IMPORTRANGE(""https://docs.google.com/spreadsheets/d/1SX6NBoVAgQJ6U1MVXOaj8PK2l7WJ3RER9xtqwdhxkhw/edit?usp=sharing"",""นครปฐม!J207"")"),0)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IFERROR(__xludf.DUMMYFUNCTION("IMPORTRANGE(""https://docs.google.com/spreadsheets/d/1SX6NBoVAgQJ6U1MVXOaj8PK2l7WJ3RER9xtqwdhxkhw/edit?usp=sharing"",""นครปฐม!J208"")"),0)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IFERROR(__xludf.DUMMYFUNCTION("IMPORTRANGE(""https://docs.google.com/spreadsheets/d/1SX6NBoVAgQJ6U1MVXOaj8PK2l7WJ3RER9xtqwdhxkhw/edit?usp=sharing"",""นครปฐม!I209"")"),0)</f>
        <v>0</v>
      </c>
      <c r="J304" s="204">
        <f ca="1">IFERROR(__xludf.DUMMYFUNCTION("IMPORTRANGE(""https://docs.google.com/spreadsheets/d/1SX6NBoVAgQJ6U1MVXOaj8PK2l7WJ3RER9xtqwdhxkhw/edit?usp=sharing"",""นครปฐม!J209"")"),0)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IFERROR(__xludf.DUMMYFUNCTION("IMPORTRANGE(""https://docs.google.com/spreadsheets/d/1SX6NBoVAgQJ6U1MVXOaj8PK2l7WJ3RER9xtqwdhxkhw/edit?usp=sharing"",""นครปฐม!I211"")"),0)</f>
        <v>0</v>
      </c>
      <c r="J306" s="204">
        <f ca="1">IFERROR(__xludf.DUMMYFUNCTION("IMPORTRANGE(""https://docs.google.com/spreadsheets/d/1SX6NBoVAgQJ6U1MVXOaj8PK2l7WJ3RER9xtqwdhxkhw/edit?usp=sharing"",""นครปฐม!J211"")"),0)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IFERROR(__xludf.DUMMYFUNCTION("IMPORTRANGE(""https://docs.google.com/spreadsheets/d/1SX6NBoVAgQJ6U1MVXOaj8PK2l7WJ3RER9xtqwdhxkhw/edit?usp=sharing"",""นครปฐม!J212"")"),0)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IFERROR(__xludf.DUMMYFUNCTION("IMPORTRANGE(""https://docs.google.com/spreadsheets/d/1SX6NBoVAgQJ6U1MVXOaj8PK2l7WJ3RER9xtqwdhxkhw/edit?usp=sharing"",""นครปฐม!J213"")"),0)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IFERROR(__xludf.DUMMYFUNCTION("IMPORTRANGE(""https://docs.google.com/spreadsheets/d/1SX6NBoVAgQJ6U1MVXOaj8PK2l7WJ3RER9xtqwdhxkhw/edit?usp=sharing"",""นครปฐม!I214"")"),0)</f>
        <v>0</v>
      </c>
      <c r="J309" s="334">
        <f ca="1">IFERROR(__xludf.DUMMYFUNCTION("IMPORTRANGE(""https://docs.google.com/spreadsheets/d/1SX6NBoVAgQJ6U1MVXOaj8PK2l7WJ3RER9xtqwdhxkhw/edit?usp=sharing"",""นครปฐม!J214"")"),0)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562" t="s">
        <v>17</v>
      </c>
      <c r="E310" s="563"/>
      <c r="F310" s="563"/>
      <c r="G310" s="563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564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IFERROR(__xludf.DUMMYFUNCTION("IMPORTRANGE(""https://docs.google.com/spreadsheets/d/1Yj_ptqi66GCucihVvJfMjLAmec39IyEx_6qawtMGysU/edit?usp=sharing"",""สบก!DC66"")"),0)</f>
        <v>0</v>
      </c>
      <c r="N314" s="169">
        <f ca="1">IFERROR(__xludf.DUMMYFUNCTION("IMPORTRANGE(""https://docs.google.com/spreadsheets/d/1Yj_ptqi66GCucihVvJfMjLAmec39IyEx_6qawtMGysU/edit?usp=sharing"",""สบก!DD66"")"),0)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IFERROR(__xludf.DUMMYFUNCTION("IMPORTRANGE(""https://docs.google.com/spreadsheets/d/1Yj_ptqi66GCucihVvJfMjLAmec39IyEx_6qawtMGysU/edit?usp=sharing"",""สบก!CY66"")"),0)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IFERROR(__xludf.DUMMYFUNCTION("IMPORTRANGE(""https://docs.google.com/spreadsheets/d/1Yj_ptqi66GCucihVvJfMjLAmec39IyEx_6qawtMGysU/edit?usp=sharing"",""สบก!CZ66"")"),0)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564" t="s">
        <v>23</v>
      </c>
      <c r="E317" s="565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IFERROR(__xludf.DUMMYFUNCTION("IMPORTRANGE(""https://docs.google.com/spreadsheets/d/1Yj_ptqi66GCucihVvJfMjLAmec39IyEx_6qawtMGysU/edit?usp=sharing"",""สบก!DA66"")"),0)</f>
        <v>0</v>
      </c>
      <c r="M318" s="49"/>
      <c r="N318" s="49">
        <f ca="1">IFERROR(__xludf.DUMMYFUNCTION("IMPORTRANGE(""https://docs.google.com/spreadsheets/d/1Yj_ptqi66GCucihVvJfMjLAmec39IyEx_6qawtMGysU/edit?usp=sharing"",""สบก!DE66"")"),0)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IFERROR(__xludf.DUMMYFUNCTION("IMPORTRANGE(""https://docs.google.com/spreadsheets/d/1SX6NBoVAgQJ6U1MVXOaj8PK2l7WJ3RER9xtqwdhxkhw/edit?usp=sharing"",""นครปฐม!J220"")"),0)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IFERROR(__xludf.DUMMYFUNCTION("IMPORTRANGE(""https://docs.google.com/spreadsheets/d/1SX6NBoVAgQJ6U1MVXOaj8PK2l7WJ3RER9xtqwdhxkhw/edit?usp=sharing"",""นครปฐม!J221"")"),0)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IFERROR(__xludf.DUMMYFUNCTION("IMPORTRANGE(""https://docs.google.com/spreadsheets/d/1SX6NBoVAgQJ6U1MVXOaj8PK2l7WJ3RER9xtqwdhxkhw/edit?usp=sharing"",""นครปฐม!J222"")"),0)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IFERROR(__xludf.DUMMYFUNCTION("IMPORTRANGE(""https://docs.google.com/spreadsheets/d/1SX6NBoVAgQJ6U1MVXOaj8PK2l7WJ3RER9xtqwdhxkhw/edit?usp=sharing"",""นครปฐม!J223"")"),0)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IFERROR(__xludf.DUMMYFUNCTION("IMPORTRANGE(""https://docs.google.com/spreadsheets/d/1SX6NBoVAgQJ6U1MVXOaj8PK2l7WJ3RER9xtqwdhxkhw/edit?usp=sharing"",""นครปฐม!I224"")"),0)</f>
        <v>0</v>
      </c>
      <c r="J324" s="204">
        <f ca="1">IFERROR(__xludf.DUMMYFUNCTION("IMPORTRANGE(""https://docs.google.com/spreadsheets/d/1SX6NBoVAgQJ6U1MVXOaj8PK2l7WJ3RER9xtqwdhxkhw/edit?usp=sharing"",""นครปฐม!J224"")"),0)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IFERROR(__xludf.DUMMYFUNCTION("IMPORTRANGE(""https://docs.google.com/spreadsheets/d/1SX6NBoVAgQJ6U1MVXOaj8PK2l7WJ3RER9xtqwdhxkhw/edit?usp=sharing"",""นครปฐม!J225"")"),0)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IFERROR(__xludf.DUMMYFUNCTION("IMPORTRANGE(""https://docs.google.com/spreadsheets/d/1SX6NBoVAgQJ6U1MVXOaj8PK2l7WJ3RER9xtqwdhxkhw/edit?usp=sharing"",""นครปฐม!J226"")"),0)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IFERROR(__xludf.DUMMYFUNCTION("IMPORTRANGE(""https://docs.google.com/spreadsheets/d/1SX6NBoVAgQJ6U1MVXOaj8PK2l7WJ3RER9xtqwdhxkhw/edit?usp=sharing"",""นครปฐม!I228"")"),0)</f>
        <v>0</v>
      </c>
      <c r="J328" s="340">
        <f ca="1">IFERROR(__xludf.DUMMYFUNCTION("IMPORTRANGE(""https://docs.google.com/spreadsheets/d/1SX6NBoVAgQJ6U1MVXOaj8PK2l7WJ3RER9xtqwdhxkhw/edit?usp=sharing"",""นครปฐม!J228"")"),0)</f>
        <v>0</v>
      </c>
      <c r="K328" s="318">
        <f ca="1">IF(I328&gt;0,J328*100/I328,0)</f>
        <v>0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562" t="s">
        <v>17</v>
      </c>
      <c r="E329" s="563"/>
      <c r="F329" s="563"/>
      <c r="G329" s="563"/>
      <c r="H329" s="149" t="s">
        <v>12</v>
      </c>
      <c r="I329" s="162"/>
      <c r="J329" s="162"/>
      <c r="K329" s="163"/>
      <c r="L329" s="152">
        <f t="shared" ref="L329:N329" ca="1" si="98">L330+L331</f>
        <v>633110</v>
      </c>
      <c r="M329" s="152">
        <f t="shared" ca="1" si="98"/>
        <v>668110</v>
      </c>
      <c r="N329" s="152">
        <f t="shared" ca="1" si="98"/>
        <v>478370</v>
      </c>
      <c r="O329" s="151">
        <f t="shared" ref="O329:O331" ca="1" si="99">IF(L329&gt;0,N329*100/L329,0)</f>
        <v>75.558749664355332</v>
      </c>
      <c r="P329" s="151">
        <f t="shared" ref="P329:P331" ca="1" si="100">IF(M329&gt;0,N329*100/M329,0)</f>
        <v>71.600484950083072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633110</v>
      </c>
      <c r="M331" s="157">
        <f t="shared" ca="1" si="102"/>
        <v>668110</v>
      </c>
      <c r="N331" s="157">
        <f t="shared" ca="1" si="102"/>
        <v>478370</v>
      </c>
      <c r="O331" s="156">
        <f t="shared" ca="1" si="99"/>
        <v>75.558749664355332</v>
      </c>
      <c r="P331" s="156">
        <f t="shared" ca="1" si="100"/>
        <v>71.600484950083072</v>
      </c>
    </row>
    <row r="332" spans="1:16" ht="21.75" customHeight="1" x14ac:dyDescent="0.3">
      <c r="A332" s="158"/>
      <c r="B332" s="159"/>
      <c r="C332" s="159" t="s">
        <v>16</v>
      </c>
      <c r="D332" s="564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486110</v>
      </c>
      <c r="M333" s="168">
        <f ca="1">IFERROR(__xludf.DUMMYFUNCTION("IMPORTRANGE(""https://docs.google.com/spreadsheets/d/1Yj_ptqi66GCucihVvJfMjLAmec39IyEx_6qawtMGysU/edit?usp=sharing"",""สบก!DL66"")"),521110)</f>
        <v>521110</v>
      </c>
      <c r="N333" s="169">
        <f ca="1">IFERROR(__xludf.DUMMYFUNCTION("IMPORTRANGE(""https://docs.google.com/spreadsheets/d/1Yj_ptqi66GCucihVvJfMjLAmec39IyEx_6qawtMGysU/edit?usp=sharing"",""สบก!DM66"")"),335820)</f>
        <v>335820</v>
      </c>
      <c r="O333" s="169">
        <f ca="1">IF(L333&gt;0,N333*100/L333,0)</f>
        <v>69.083129332867045</v>
      </c>
      <c r="P333" s="169">
        <f ca="1">IF(M333&gt;0,N333*100/M333,0)</f>
        <v>64.443207768033616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IFERROR(__xludf.DUMMYFUNCTION("IMPORTRANGE(""https://docs.google.com/spreadsheets/d/1Yj_ptqi66GCucihVvJfMjLAmec39IyEx_6qawtMGysU/edit?usp=sharing"",""สบก!DH66"")"),306000)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IFERROR(__xludf.DUMMYFUNCTION("IMPORTRANGE(""https://docs.google.com/spreadsheets/d/1Yj_ptqi66GCucihVvJfMjLAmec39IyEx_6qawtMGysU/edit?usp=sharing"",""สบก!DI66"")"),180110)</f>
        <v>180110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564" t="s">
        <v>23</v>
      </c>
      <c r="E336" s="565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IFERROR(__xludf.DUMMYFUNCTION("IMPORTRANGE(""https://docs.google.com/spreadsheets/d/1Yj_ptqi66GCucihVvJfMjLAmec39IyEx_6qawtMGysU/edit?usp=sharing"",""สบก!DJ66"")"),147000)</f>
        <v>147000</v>
      </c>
      <c r="M337" s="49">
        <f ca="1">L337</f>
        <v>147000</v>
      </c>
      <c r="N337" s="49">
        <f ca="1">IFERROR(__xludf.DUMMYFUNCTION("IMPORTRANGE(""https://docs.google.com/spreadsheets/d/1Yj_ptqi66GCucihVvJfMjLAmec39IyEx_6qawtMGysU/edit?usp=sharing"",""สบก!DN66"")"),142550)</f>
        <v>142550</v>
      </c>
      <c r="O337" s="49">
        <f ca="1">IF(L337&gt;0,N337*100/L337,0)</f>
        <v>96.972789115646265</v>
      </c>
      <c r="P337" s="49">
        <f ca="1">IF(M337&gt;0,N337*100/M337,0)</f>
        <v>96.972789115646265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IFERROR(__xludf.DUMMYFUNCTION("IMPORTRANGE(""https://docs.google.com/spreadsheets/d/1SX6NBoVAgQJ6U1MVXOaj8PK2l7WJ3RER9xtqwdhxkhw/edit?usp=sharing"",""นครปฐม!I234"")"),0)</f>
        <v>0</v>
      </c>
      <c r="J339" s="188">
        <f ca="1">IFERROR(__xludf.DUMMYFUNCTION("IMPORTRANGE(""https://docs.google.com/spreadsheets/d/1SX6NBoVAgQJ6U1MVXOaj8PK2l7WJ3RER9xtqwdhxkhw/edit?usp=sharing"",""นครปฐม!J234"")"),0)</f>
        <v>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IFERROR(__xludf.DUMMYFUNCTION("IMPORTRANGE(""https://docs.google.com/spreadsheets/d/1SX6NBoVAgQJ6U1MVXOaj8PK2l7WJ3RER9xtqwdhxkhw/edit?usp=sharing"",""นครปฐม!I235"")"),0)</f>
        <v>0</v>
      </c>
      <c r="J340" s="188">
        <f ca="1">IFERROR(__xludf.DUMMYFUNCTION("IMPORTRANGE(""https://docs.google.com/spreadsheets/d/1SX6NBoVAgQJ6U1MVXOaj8PK2l7WJ3RER9xtqwdhxkhw/edit?usp=sharing"",""นครปฐม!J235"")"),0)</f>
        <v>0</v>
      </c>
      <c r="K340" s="343">
        <f t="shared" ca="1" si="103"/>
        <v>0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IFERROR(__xludf.DUMMYFUNCTION("IMPORTRANGE(""https://docs.google.com/spreadsheets/d/1SX6NBoVAgQJ6U1MVXOaj8PK2l7WJ3RER9xtqwdhxkhw/edit?usp=sharing"",""นครปฐม!I236"")"),0)</f>
        <v>0</v>
      </c>
      <c r="J341" s="188">
        <f ca="1">IFERROR(__xludf.DUMMYFUNCTION("IMPORTRANGE(""https://docs.google.com/spreadsheets/d/1SX6NBoVAgQJ6U1MVXOaj8PK2l7WJ3RER9xtqwdhxkhw/edit?usp=sharing"",""นครปฐม!J236"")"),0)</f>
        <v>0</v>
      </c>
      <c r="K341" s="343">
        <f t="shared" ca="1" si="103"/>
        <v>0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IFERROR(__xludf.DUMMYFUNCTION("IMPORTRANGE(""https://docs.google.com/spreadsheets/d/1SX6NBoVAgQJ6U1MVXOaj8PK2l7WJ3RER9xtqwdhxkhw/edit?usp=sharing"",""นครปฐม!I237"")"),0)</f>
        <v>0</v>
      </c>
      <c r="J342" s="188">
        <f ca="1">IFERROR(__xludf.DUMMYFUNCTION("IMPORTRANGE(""https://docs.google.com/spreadsheets/d/1SX6NBoVAgQJ6U1MVXOaj8PK2l7WJ3RER9xtqwdhxkhw/edit?usp=sharing"",""นครปฐม!J237"")"),0)</f>
        <v>0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IFERROR(__xludf.DUMMYFUNCTION("IMPORTRANGE(""https://docs.google.com/spreadsheets/d/1SX6NBoVAgQJ6U1MVXOaj8PK2l7WJ3RER9xtqwdhxkhw/edit?usp=sharing"",""นครปฐม!I238"")"),0)</f>
        <v>0</v>
      </c>
      <c r="J343" s="188">
        <f ca="1">IFERROR(__xludf.DUMMYFUNCTION("IMPORTRANGE(""https://docs.google.com/spreadsheets/d/1SX6NBoVAgQJ6U1MVXOaj8PK2l7WJ3RER9xtqwdhxkhw/edit?usp=sharing"",""นครปฐม!J238"")"),0)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IFERROR(__xludf.DUMMYFUNCTION("IMPORTRANGE(""https://docs.google.com/spreadsheets/d/1SX6NBoVAgQJ6U1MVXOaj8PK2l7WJ3RER9xtqwdhxkhw/edit?usp=sharing"",""นครปฐม!I239"")"),0)</f>
        <v>0</v>
      </c>
      <c r="J344" s="188">
        <f ca="1">IFERROR(__xludf.DUMMYFUNCTION("IMPORTRANGE(""https://docs.google.com/spreadsheets/d/1SX6NBoVAgQJ6U1MVXOaj8PK2l7WJ3RER9xtqwdhxkhw/edit?usp=sharing"",""นครปฐม!J239"")"),0)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IFERROR(__xludf.DUMMYFUNCTION("IMPORTRANGE(""https://docs.google.com/spreadsheets/d/1SX6NBoVAgQJ6U1MVXOaj8PK2l7WJ3RER9xtqwdhxkhw/edit?usp=sharing"",""นครปฐม!I240"")"),0)</f>
        <v>0</v>
      </c>
      <c r="J345" s="188">
        <f ca="1">IFERROR(__xludf.DUMMYFUNCTION("IMPORTRANGE(""https://docs.google.com/spreadsheets/d/1SX6NBoVAgQJ6U1MVXOaj8PK2l7WJ3RER9xtqwdhxkhw/edit?usp=sharing"",""นครปฐม!J240"")"),0)</f>
        <v>0</v>
      </c>
      <c r="K345" s="343">
        <f t="shared" ca="1" si="103"/>
        <v>0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IFERROR(__xludf.DUMMYFUNCTION("IMPORTRANGE(""https://docs.google.com/spreadsheets/d/1SX6NBoVAgQJ6U1MVXOaj8PK2l7WJ3RER9xtqwdhxkhw/edit?usp=sharing"",""นครปฐม!I241"")"),0)</f>
        <v>0</v>
      </c>
      <c r="J346" s="188">
        <f ca="1">IFERROR(__xludf.DUMMYFUNCTION("IMPORTRANGE(""https://docs.google.com/spreadsheets/d/1SX6NBoVAgQJ6U1MVXOaj8PK2l7WJ3RER9xtqwdhxkhw/edit?usp=sharing"",""นครปฐม!J241"")"),0)</f>
        <v>0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IFERROR(__xludf.DUMMYFUNCTION("IMPORTRANGE(""https://docs.google.com/spreadsheets/d/1SX6NBoVAgQJ6U1MVXOaj8PK2l7WJ3RER9xtqwdhxkhw/edit?usp=sharing"",""นครปฐม!L242"")"),372200)</f>
        <v>372200</v>
      </c>
      <c r="M347" s="358"/>
      <c r="N347" s="358">
        <f ca="1">IFERROR(__xludf.DUMMYFUNCTION("IMPORTRANGE(""https://docs.google.com/spreadsheets/d/1SX6NBoVAgQJ6U1MVXOaj8PK2l7WJ3RER9xtqwdhxkhw/edit?usp=sharing"",""นครปฐม!M242"")"),315147.36)</f>
        <v>315147.36</v>
      </c>
      <c r="O347" s="358">
        <f ca="1">+IF(L347&gt;0,N347*100/L347,0)</f>
        <v>84.671509940891994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IFERROR(__xludf.DUMMYFUNCTION("IMPORTRANGE(""https://docs.google.com/spreadsheets/d/1SX6NBoVAgQJ6U1MVXOaj8PK2l7WJ3RER9xtqwdhxkhw/edit?usp=sharing"",""นครปฐม!I244"")"),0)</f>
        <v>0</v>
      </c>
      <c r="J349" s="371">
        <f ca="1">IFERROR(__xludf.DUMMYFUNCTION("IMPORTRANGE(""https://docs.google.com/spreadsheets/d/1SX6NBoVAgQJ6U1MVXOaj8PK2l7WJ3RER9xtqwdhxkhw/edit?usp=sharing"",""นครปฐม!J244"")"),0)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IFERROR(__xludf.DUMMYFUNCTION("IMPORTRANGE(""https://docs.google.com/spreadsheets/d/1SX6NBoVAgQJ6U1MVXOaj8PK2l7WJ3RER9xtqwdhxkhw/edit?usp=sharing"",""นครปฐม!L244"")"),0)</f>
        <v>0</v>
      </c>
      <c r="M349" s="373"/>
      <c r="N349" s="373">
        <f ca="1">IFERROR(__xludf.DUMMYFUNCTION("IMPORTRANGE(""https://docs.google.com/spreadsheets/d/1SX6NBoVAgQJ6U1MVXOaj8PK2l7WJ3RER9xtqwdhxkhw/edit?usp=sharing"",""นครปฐม!M244"")"),0)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IFERROR(__xludf.DUMMYFUNCTION("IMPORTRANGE(""https://docs.google.com/spreadsheets/d/1SX6NBoVAgQJ6U1MVXOaj8PK2l7WJ3RER9xtqwdhxkhw/edit?usp=sharing"",""นครปฐม!I245"")"),0)</f>
        <v>0</v>
      </c>
      <c r="J350" s="371">
        <f ca="1">IFERROR(__xludf.DUMMYFUNCTION("IMPORTRANGE(""https://docs.google.com/spreadsheets/d/1SX6NBoVAgQJ6U1MVXOaj8PK2l7WJ3RER9xtqwdhxkhw/edit?usp=sharing"",""นครปฐม!J245"")"),0)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IFERROR(__xludf.DUMMYFUNCTION("IMPORTRANGE(""https://docs.google.com/spreadsheets/d/1SX6NBoVAgQJ6U1MVXOaj8PK2l7WJ3RER9xtqwdhxkhw/edit?usp=sharing"",""นครปฐม!L246"")"),0)</f>
        <v>0</v>
      </c>
      <c r="M351" s="164"/>
      <c r="N351" s="164">
        <f ca="1">IFERROR(__xludf.DUMMYFUNCTION("IMPORTRANGE(""https://docs.google.com/spreadsheets/d/1SX6NBoVAgQJ6U1MVXOaj8PK2l7WJ3RER9xtqwdhxkhw/edit?usp=sharing"",""นครปฐม!M246"")"),0)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IFERROR(__xludf.DUMMYFUNCTION("IMPORTRANGE(""https://docs.google.com/spreadsheets/d/1SX6NBoVAgQJ6U1MVXOaj8PK2l7WJ3RER9xtqwdhxkhw/edit?usp=sharing"",""นครปฐม!L247"")"),0)</f>
        <v>0</v>
      </c>
      <c r="M352" s="165"/>
      <c r="N352" s="164">
        <f ca="1">IFERROR(__xludf.DUMMYFUNCTION("IMPORTRANGE(""https://docs.google.com/spreadsheets/d/1SX6NBoVAgQJ6U1MVXOaj8PK2l7WJ3RER9xtqwdhxkhw/edit?usp=sharing"",""นครปฐม!M247"")"),0)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IFERROR(__xludf.DUMMYFUNCTION("IMPORTRANGE(""https://docs.google.com/spreadsheets/d/1SX6NBoVAgQJ6U1MVXOaj8PK2l7WJ3RER9xtqwdhxkhw/edit?usp=sharing"",""นครปฐม!L248"")"),0)</f>
        <v>0</v>
      </c>
      <c r="M353" s="169"/>
      <c r="N353" s="169">
        <f ca="1">IFERROR(__xludf.DUMMYFUNCTION("IMPORTRANGE(""https://docs.google.com/spreadsheets/d/1SX6NBoVAgQJ6U1MVXOaj8PK2l7WJ3RER9xtqwdhxkhw/edit?usp=sharing"",""นครปฐม!M248"")"),0)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IFERROR(__xludf.DUMMYFUNCTION("IMPORTRANGE(""https://docs.google.com/spreadsheets/d/1SX6NBoVAgQJ6U1MVXOaj8PK2l7WJ3RER9xtqwdhxkhw/edit?usp=sharing"",""นครปฐม!L249"")"),0)</f>
        <v>0</v>
      </c>
      <c r="M354" s="169"/>
      <c r="N354" s="168">
        <f ca="1">IFERROR(__xludf.DUMMYFUNCTION("IMPORTRANGE(""https://docs.google.com/spreadsheets/d/1SX6NBoVAgQJ6U1MVXOaj8PK2l7WJ3RER9xtqwdhxkhw/edit?usp=sharing"",""นครปฐม!M249"")"),0)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IFERROR(__xludf.DUMMYFUNCTION("IMPORTRANGE(""https://docs.google.com/spreadsheets/d/1SX6NBoVAgQJ6U1MVXOaj8PK2l7WJ3RER9xtqwdhxkhw/edit?usp=sharing"",""นครปฐม!M250"")"),0)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IFERROR(__xludf.DUMMYFUNCTION("IMPORTRANGE(""https://docs.google.com/spreadsheets/d/1SX6NBoVAgQJ6U1MVXOaj8PK2l7WJ3RER9xtqwdhxkhw/edit?usp=sharing"",""นครปฐม!M251"")"),0)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IFERROR(__xludf.DUMMYFUNCTION("IMPORTRANGE(""https://docs.google.com/spreadsheets/d/1SX6NBoVAgQJ6U1MVXOaj8PK2l7WJ3RER9xtqwdhxkhw/edit?usp=sharing"",""นครปฐม!M252"")"),0)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IFERROR(__xludf.DUMMYFUNCTION("IMPORTRANGE(""https://docs.google.com/spreadsheets/d/1SX6NBoVAgQJ6U1MVXOaj8PK2l7WJ3RER9xtqwdhxkhw/edit?usp=sharing"",""นครปฐม!M253"")"),0)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IFERROR(__xludf.DUMMYFUNCTION("IMPORTRANGE(""https://docs.google.com/spreadsheets/d/1SX6NBoVAgQJ6U1MVXOaj8PK2l7WJ3RER9xtqwdhxkhw/edit?usp=sharing"",""นครปฐม!J255"")"),0)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IFERROR(__xludf.DUMMYFUNCTION("IMPORTRANGE(""https://docs.google.com/spreadsheets/d/1SX6NBoVAgQJ6U1MVXOaj8PK2l7WJ3RER9xtqwdhxkhw/edit?usp=sharing"",""นครปฐม!J256"")"),0)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IFERROR(__xludf.DUMMYFUNCTION("IMPORTRANGE(""https://docs.google.com/spreadsheets/d/1SX6NBoVAgQJ6U1MVXOaj8PK2l7WJ3RER9xtqwdhxkhw/edit?usp=sharing"",""นครปฐม!J257"")"),0)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IFERROR(__xludf.DUMMYFUNCTION("IMPORTRANGE(""https://docs.google.com/spreadsheets/d/1SX6NBoVAgQJ6U1MVXOaj8PK2l7WJ3RER9xtqwdhxkhw/edit?usp=sharing"",""นครปฐม!J258"")"),0)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IFERROR(__xludf.DUMMYFUNCTION("IMPORTRANGE(""https://docs.google.com/spreadsheets/d/1SX6NBoVAgQJ6U1MVXOaj8PK2l7WJ3RER9xtqwdhxkhw/edit?usp=sharing"",""นครปฐม!J166"")"),0)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IFERROR(__xludf.DUMMYFUNCTION("IMPORTRANGE(""https://docs.google.com/spreadsheets/d/1SX6NBoVAgQJ6U1MVXOaj8PK2l7WJ3RER9xtqwdhxkhw/edit?usp=sharing"",""นครปฐม!J166"")"),0)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IFERROR(__xludf.DUMMYFUNCTION("IMPORTRANGE(""https://docs.google.com/spreadsheets/d/1SX6NBoVAgQJ6U1MVXOaj8PK2l7WJ3RER9xtqwdhxkhw/edit?usp=sharing"",""นครปฐม!J166"")"),0)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IFERROR(__xludf.DUMMYFUNCTION("IMPORTRANGE(""https://docs.google.com/spreadsheets/d/1SX6NBoVAgQJ6U1MVXOaj8PK2l7WJ3RER9xtqwdhxkhw/edit?usp=sharing"",""นครปฐม!J166"")"),0)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IFERROR(__xludf.DUMMYFUNCTION("IMPORTRANGE(""https://docs.google.com/spreadsheets/d/1SX6NBoVAgQJ6U1MVXOaj8PK2l7WJ3RER9xtqwdhxkhw/edit?usp=sharing"",""นครปฐม!I263"")"),0)</f>
        <v>0</v>
      </c>
      <c r="J368" s="188">
        <f ca="1">IFERROR(__xludf.DUMMYFUNCTION("IMPORTRANGE(""https://docs.google.com/spreadsheets/d/1SX6NBoVAgQJ6U1MVXOaj8PK2l7WJ3RER9xtqwdhxkhw/edit?usp=sharing"",""นครปฐม!J263"")"),0)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IFERROR(__xludf.DUMMYFUNCTION("IMPORTRANGE(""https://docs.google.com/spreadsheets/d/1SX6NBoVAgQJ6U1MVXOaj8PK2l7WJ3RER9xtqwdhxkhw/edit?usp=sharing"",""นครปฐม!I164"")"),0)</f>
        <v>0</v>
      </c>
      <c r="J369" s="204">
        <f ca="1">IFERROR(__xludf.DUMMYFUNCTION("IMPORTRANGE(""https://docs.google.com/spreadsheets/d/1SX6NBoVAgQJ6U1MVXOaj8PK2l7WJ3RER9xtqwdhxkhw/edit?usp=sharing"",""นครปฐม!J164"")"),0)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380" t="s">
        <v>139</v>
      </c>
      <c r="H370" s="181" t="s">
        <v>37</v>
      </c>
      <c r="I370" s="162">
        <f ca="1">IFERROR(__xludf.DUMMYFUNCTION("IMPORTRANGE(""https://docs.google.com/spreadsheets/d/1SX6NBoVAgQJ6U1MVXOaj8PK2l7WJ3RER9xtqwdhxkhw/edit?usp=sharing"",""นครปฐม!I265"")"),0)</f>
        <v>0</v>
      </c>
      <c r="J370" s="204">
        <f ca="1">IFERROR(__xludf.DUMMYFUNCTION("IMPORTRANGE(""https://docs.google.com/spreadsheets/d/1SX6NBoVAgQJ6U1MVXOaj8PK2l7WJ3RER9xtqwdhxkhw/edit?usp=sharing"",""นครปฐม!J265"")"),0)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IFERROR(__xludf.DUMMYFUNCTION("IMPORTRANGE(""https://docs.google.com/spreadsheets/d/1SX6NBoVAgQJ6U1MVXOaj8PK2l7WJ3RER9xtqwdhxkhw/edit?usp=sharing"",""นครปฐม!I164"")"),0)</f>
        <v>0</v>
      </c>
      <c r="J371" s="189">
        <f ca="1">IFERROR(__xludf.DUMMYFUNCTION("IMPORTRANGE(""https://docs.google.com/spreadsheets/d/1SX6NBoVAgQJ6U1MVXOaj8PK2l7WJ3RER9xtqwdhxkhw/edit?usp=sharing"",""นครปฐม!J164"")"),0)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380" t="s">
        <v>140</v>
      </c>
      <c r="H372" s="181" t="s">
        <v>37</v>
      </c>
      <c r="I372" s="162">
        <f ca="1">IFERROR(__xludf.DUMMYFUNCTION("IMPORTRANGE(""https://docs.google.com/spreadsheets/d/1SX6NBoVAgQJ6U1MVXOaj8PK2l7WJ3RER9xtqwdhxkhw/edit?usp=sharing"",""นครปฐม!I267"")"),0)</f>
        <v>0</v>
      </c>
      <c r="J372" s="189">
        <f ca="1">IFERROR(__xludf.DUMMYFUNCTION("IMPORTRANGE(""https://docs.google.com/spreadsheets/d/1SX6NBoVAgQJ6U1MVXOaj8PK2l7WJ3RER9xtqwdhxkhw/edit?usp=sharing"",""นครปฐม!J267"")"),0)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IFERROR(__xludf.DUMMYFUNCTION("IMPORTRANGE(""https://docs.google.com/spreadsheets/d/1SX6NBoVAgQJ6U1MVXOaj8PK2l7WJ3RER9xtqwdhxkhw/edit?usp=sharing"",""นครปฐม!I164"")"),0)</f>
        <v>0</v>
      </c>
      <c r="J373" s="204">
        <f ca="1">IFERROR(__xludf.DUMMYFUNCTION("IMPORTRANGE(""https://docs.google.com/spreadsheets/d/1SX6NBoVAgQJ6U1MVXOaj8PK2l7WJ3RER9xtqwdhxkhw/edit?usp=sharing"",""นครปฐม!J164"")"),0)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IFERROR(__xludf.DUMMYFUNCTION("IMPORTRANGE(""https://docs.google.com/spreadsheets/d/1SX6NBoVAgQJ6U1MVXOaj8PK2l7WJ3RER9xtqwdhxkhw/edit?usp=sharing"",""นครปฐม!I164"")"),0)</f>
        <v>0</v>
      </c>
      <c r="J374" s="188">
        <f ca="1">IFERROR(__xludf.DUMMYFUNCTION("IMPORTRANGE(""https://docs.google.com/spreadsheets/d/1SX6NBoVAgQJ6U1MVXOaj8PK2l7WJ3RER9xtqwdhxkhw/edit?usp=sharing"",""นครปฐม!J164"")"),0)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IFERROR(__xludf.DUMMYFUNCTION("IMPORTRANGE(""https://docs.google.com/spreadsheets/d/1SX6NBoVAgQJ6U1MVXOaj8PK2l7WJ3RER9xtqwdhxkhw/edit?usp=sharing"",""นครปฐม!I270"")"),0)</f>
        <v>0</v>
      </c>
      <c r="J375" s="188">
        <f ca="1">IFERROR(__xludf.DUMMYFUNCTION("IMPORTRANGE(""https://docs.google.com/spreadsheets/d/1SX6NBoVAgQJ6U1MVXOaj8PK2l7WJ3RER9xtqwdhxkhw/edit?usp=sharing"",""นครปฐม!J270"")"),0)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IFERROR(__xludf.DUMMYFUNCTION("IMPORTRANGE(""https://docs.google.com/spreadsheets/d/1SX6NBoVAgQJ6U1MVXOaj8PK2l7WJ3RER9xtqwdhxkhw/edit?usp=sharing"",""นครปฐม!I271"")"),0)</f>
        <v>0</v>
      </c>
      <c r="J376" s="189">
        <f ca="1">IFERROR(__xludf.DUMMYFUNCTION("IMPORTRANGE(""https://docs.google.com/spreadsheets/d/1SX6NBoVAgQJ6U1MVXOaj8PK2l7WJ3RER9xtqwdhxkhw/edit?usp=sharing"",""นครปฐม!J271"")"),0)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IFERROR(__xludf.DUMMYFUNCTION("IMPORTRANGE(""https://docs.google.com/spreadsheets/d/1SX6NBoVAgQJ6U1MVXOaj8PK2l7WJ3RER9xtqwdhxkhw/edit?usp=sharing"",""นครปฐม!I272"")"),0)</f>
        <v>0</v>
      </c>
      <c r="J377" s="204">
        <f ca="1">IFERROR(__xludf.DUMMYFUNCTION("IMPORTRANGE(""https://docs.google.com/spreadsheets/d/1SX6NBoVAgQJ6U1MVXOaj8PK2l7WJ3RER9xtqwdhxkhw/edit?usp=sharing"",""นครปฐม!J272"")"),0)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IFERROR(__xludf.DUMMYFUNCTION("IMPORTRANGE(""https://docs.google.com/spreadsheets/d/1SX6NBoVAgQJ6U1MVXOaj8PK2l7WJ3RER9xtqwdhxkhw/edit?usp=sharing"",""นครปฐม!J273"")"),0)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IFERROR(__xludf.DUMMYFUNCTION("IMPORTRANGE(""https://docs.google.com/spreadsheets/d/1SX6NBoVAgQJ6U1MVXOaj8PK2l7WJ3RER9xtqwdhxkhw/edit?usp=sharing"",""นครปฐม!J274"")"),0)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IFERROR(__xludf.DUMMYFUNCTION("IMPORTRANGE(""https://docs.google.com/spreadsheets/d/1SX6NBoVAgQJ6U1MVXOaj8PK2l7WJ3RER9xtqwdhxkhw/edit?usp=sharing"",""นครปฐม!I275"")"),0)</f>
        <v>0</v>
      </c>
      <c r="J380" s="371">
        <f ca="1">IFERROR(__xludf.DUMMYFUNCTION("IMPORTRANGE(""https://docs.google.com/spreadsheets/d/1SX6NBoVAgQJ6U1MVXOaj8PK2l7WJ3RER9xtqwdhxkhw/edit?usp=sharing"",""นครปฐม!J275"")"),0)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IFERROR(__xludf.DUMMYFUNCTION("IMPORTRANGE(""https://docs.google.com/spreadsheets/d/1SX6NBoVAgQJ6U1MVXOaj8PK2l7WJ3RER9xtqwdhxkhw/edit?usp=sharing"",""นครปฐม!L275"")"),0)</f>
        <v>0</v>
      </c>
      <c r="M380" s="373"/>
      <c r="N380" s="373">
        <f ca="1">IFERROR(__xludf.DUMMYFUNCTION("IMPORTRANGE(""https://docs.google.com/spreadsheets/d/1SX6NBoVAgQJ6U1MVXOaj8PK2l7WJ3RER9xtqwdhxkhw/edit?usp=sharing"",""นครปฐม!M275"")"),0)</f>
        <v>0</v>
      </c>
      <c r="O380" s="373">
        <f ca="1">+IF(L380&gt;0,N380*100/L380,0)</f>
        <v>0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IFERROR(__xludf.DUMMYFUNCTION("IMPORTRANGE(""https://docs.google.com/spreadsheets/d/1SX6NBoVAgQJ6U1MVXOaj8PK2l7WJ3RER9xtqwdhxkhw/edit?usp=sharing"",""นครปฐม!I276"")"),0)</f>
        <v>0</v>
      </c>
      <c r="J381" s="371">
        <f ca="1">IFERROR(__xludf.DUMMYFUNCTION("IMPORTRANGE(""https://docs.google.com/spreadsheets/d/1SX6NBoVAgQJ6U1MVXOaj8PK2l7WJ3RER9xtqwdhxkhw/edit?usp=sharing"",""นครปฐม!J276"")"),0)</f>
        <v>0</v>
      </c>
      <c r="K381" s="372">
        <f t="shared" ca="1" si="108"/>
        <v>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IFERROR(__xludf.DUMMYFUNCTION("IMPORTRANGE(""https://docs.google.com/spreadsheets/d/1SX6NBoVAgQJ6U1MVXOaj8PK2l7WJ3RER9xtqwdhxkhw/edit?usp=sharing"",""นครปฐม!L277"")"),0)</f>
        <v>0</v>
      </c>
      <c r="M382" s="164"/>
      <c r="N382" s="164">
        <f ca="1">IFERROR(__xludf.DUMMYFUNCTION("IMPORTRANGE(""https://docs.google.com/spreadsheets/d/1SX6NBoVAgQJ6U1MVXOaj8PK2l7WJ3RER9xtqwdhxkhw/edit?usp=sharing"",""นครปฐม!M277"")"),0)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IFERROR(__xludf.DUMMYFUNCTION("IMPORTRANGE(""https://docs.google.com/spreadsheets/d/1SX6NBoVAgQJ6U1MVXOaj8PK2l7WJ3RER9xtqwdhxkhw/edit?usp=sharing"",""นครปฐม!L278"")"),0)</f>
        <v>0</v>
      </c>
      <c r="M383" s="165"/>
      <c r="N383" s="165">
        <f ca="1">IFERROR(__xludf.DUMMYFUNCTION("IMPORTRANGE(""https://docs.google.com/spreadsheets/d/1SX6NBoVAgQJ6U1MVXOaj8PK2l7WJ3RER9xtqwdhxkhw/edit?usp=sharing"",""นครปฐม!M278"")"),0)</f>
        <v>0</v>
      </c>
      <c r="O383" s="165">
        <f t="shared" ca="1" si="109"/>
        <v>0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IFERROR(__xludf.DUMMYFUNCTION("IMPORTRANGE(""https://docs.google.com/spreadsheets/d/1SX6NBoVAgQJ6U1MVXOaj8PK2l7WJ3RER9xtqwdhxkhw/edit?usp=sharing"",""นครปฐม!L279"")"),0)</f>
        <v>0</v>
      </c>
      <c r="M384" s="169"/>
      <c r="N384" s="169">
        <f ca="1">IFERROR(__xludf.DUMMYFUNCTION("IMPORTRANGE(""https://docs.google.com/spreadsheets/d/1SX6NBoVAgQJ6U1MVXOaj8PK2l7WJ3RER9xtqwdhxkhw/edit?usp=sharing"",""นครปฐม!M279"")"),0)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IFERROR(__xludf.DUMMYFUNCTION("IMPORTRANGE(""https://docs.google.com/spreadsheets/d/1SX6NBoVAgQJ6U1MVXOaj8PK2l7WJ3RER9xtqwdhxkhw/edit?usp=sharing"",""นครปฐม!L280"")"),0)</f>
        <v>0</v>
      </c>
      <c r="M385" s="169"/>
      <c r="N385" s="168">
        <f ca="1">IFERROR(__xludf.DUMMYFUNCTION("IMPORTRANGE(""https://docs.google.com/spreadsheets/d/1SX6NBoVAgQJ6U1MVXOaj8PK2l7WJ3RER9xtqwdhxkhw/edit?usp=sharing"",""นครปฐม!M280"")"),0)</f>
        <v>0</v>
      </c>
      <c r="O385" s="169">
        <f t="shared" ca="1" si="109"/>
        <v>0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IFERROR(__xludf.DUMMYFUNCTION("IMPORTRANGE(""https://docs.google.com/spreadsheets/d/1SX6NBoVAgQJ6U1MVXOaj8PK2l7WJ3RER9xtqwdhxkhw/edit?usp=sharing"",""นครปฐม!M281"")"),0)</f>
        <v>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IFERROR(__xludf.DUMMYFUNCTION("IMPORTRANGE(""https://docs.google.com/spreadsheets/d/1SX6NBoVAgQJ6U1MVXOaj8PK2l7WJ3RER9xtqwdhxkhw/edit?usp=sharing"",""นครปฐม!M282"")"),0)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IFERROR(__xludf.DUMMYFUNCTION("IMPORTRANGE(""https://docs.google.com/spreadsheets/d/1SX6NBoVAgQJ6U1MVXOaj8PK2l7WJ3RER9xtqwdhxkhw/edit?usp=sharing"",""นครปฐม!M283"")"),0)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IFERROR(__xludf.DUMMYFUNCTION("IMPORTRANGE(""https://docs.google.com/spreadsheets/d/1SX6NBoVAgQJ6U1MVXOaj8PK2l7WJ3RER9xtqwdhxkhw/edit?usp=sharing"",""นครปฐม!M284"")"),0)</f>
        <v>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IFERROR(__xludf.DUMMYFUNCTION("IMPORTRANGE(""https://docs.google.com/spreadsheets/d/1SX6NBoVAgQJ6U1MVXOaj8PK2l7WJ3RER9xtqwdhxkhw/edit?usp=sharing"",""นครปฐม!J286"")"),0)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IFERROR(__xludf.DUMMYFUNCTION("IMPORTRANGE(""https://docs.google.com/spreadsheets/d/1SX6NBoVAgQJ6U1MVXOaj8PK2l7WJ3RER9xtqwdhxkhw/edit?usp=sharing"",""นครปฐม!J287"")"),0)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IFERROR(__xludf.DUMMYFUNCTION("IMPORTRANGE(""https://docs.google.com/spreadsheets/d/1SX6NBoVAgQJ6U1MVXOaj8PK2l7WJ3RER9xtqwdhxkhw/edit?usp=sharing"",""นครปฐม!J288"")"),0)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IFERROR(__xludf.DUMMYFUNCTION("IMPORTRANGE(""https://docs.google.com/spreadsheets/d/1SX6NBoVAgQJ6U1MVXOaj8PK2l7WJ3RER9xtqwdhxkhw/edit?usp=sharing"",""นครปฐม!J289"")"),0)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IFERROR(__xludf.DUMMYFUNCTION("IMPORTRANGE(""https://docs.google.com/spreadsheets/d/1SX6NBoVAgQJ6U1MVXOaj8PK2l7WJ3RER9xtqwdhxkhw/edit?usp=sharing"",""นครปฐม!I291"")"),0)</f>
        <v>0</v>
      </c>
      <c r="J396" s="198">
        <f ca="1">IFERROR(__xludf.DUMMYFUNCTION("IMPORTRANGE(""https://docs.google.com/spreadsheets/d/1SX6NBoVAgQJ6U1MVXOaj8PK2l7WJ3RER9xtqwdhxkhw/edit?usp=sharing"",""นครปฐม!J291"")"),0)</f>
        <v>0</v>
      </c>
      <c r="K396" s="163">
        <f t="shared" ref="K396:K398" ca="1" si="110">IF(I396&gt;0,J396*100/I396,0)</f>
        <v>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IFERROR(__xludf.DUMMYFUNCTION("IMPORTRANGE(""https://docs.google.com/spreadsheets/d/1SX6NBoVAgQJ6U1MVXOaj8PK2l7WJ3RER9xtqwdhxkhw/edit?usp=sharing"",""นครปฐม!I292"")"),0)</f>
        <v>0</v>
      </c>
      <c r="J397" s="198">
        <f ca="1">IFERROR(__xludf.DUMMYFUNCTION("IMPORTRANGE(""https://docs.google.com/spreadsheets/d/1SX6NBoVAgQJ6U1MVXOaj8PK2l7WJ3RER9xtqwdhxkhw/edit?usp=sharing"",""นครปฐม!J292"")"),0)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IFERROR(__xludf.DUMMYFUNCTION("IMPORTRANGE(""https://docs.google.com/spreadsheets/d/1SX6NBoVAgQJ6U1MVXOaj8PK2l7WJ3RER9xtqwdhxkhw/edit?usp=sharing"",""นครปฐม!I293"")"),0)</f>
        <v>0</v>
      </c>
      <c r="J398" s="198">
        <f ca="1">IFERROR(__xludf.DUMMYFUNCTION("IMPORTRANGE(""https://docs.google.com/spreadsheets/d/1SX6NBoVAgQJ6U1MVXOaj8PK2l7WJ3RER9xtqwdhxkhw/edit?usp=sharing"",""นครปฐม!J293"")"),0)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IFERROR(__xludf.DUMMYFUNCTION("IMPORTRANGE(""https://docs.google.com/spreadsheets/d/1SX6NBoVAgQJ6U1MVXOaj8PK2l7WJ3RER9xtqwdhxkhw/edit?usp=sharing"",""นครปฐม!J294"")"),0)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IFERROR(__xludf.DUMMYFUNCTION("IMPORTRANGE(""https://docs.google.com/spreadsheets/d/1SX6NBoVAgQJ6U1MVXOaj8PK2l7WJ3RER9xtqwdhxkhw/edit?usp=sharing"",""นครปฐม!J295"")"),0)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IFERROR(__xludf.DUMMYFUNCTION("IMPORTRANGE(""https://docs.google.com/spreadsheets/d/1SX6NBoVAgQJ6U1MVXOaj8PK2l7WJ3RER9xtqwdhxkhw/edit?usp=sharing"",""นครปฐม!I296"")"),150)</f>
        <v>150</v>
      </c>
      <c r="J401" s="371">
        <f ca="1">IFERROR(__xludf.DUMMYFUNCTION("IMPORTRANGE(""https://docs.google.com/spreadsheets/d/1SX6NBoVAgQJ6U1MVXOaj8PK2l7WJ3RER9xtqwdhxkhw/edit?usp=sharing"",""นครปฐม!J296"")"),150)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IFERROR(__xludf.DUMMYFUNCTION("IMPORTRANGE(""https://docs.google.com/spreadsheets/d/1SX6NBoVAgQJ6U1MVXOaj8PK2l7WJ3RER9xtqwdhxkhw/edit?usp=sharing"",""นครปฐม!L296"")"),130250)</f>
        <v>130250</v>
      </c>
      <c r="M401" s="373"/>
      <c r="N401" s="373">
        <f ca="1">IFERROR(__xludf.DUMMYFUNCTION("IMPORTRANGE(""https://docs.google.com/spreadsheets/d/1SX6NBoVAgQJ6U1MVXOaj8PK2l7WJ3RER9xtqwdhxkhw/edit?usp=sharing"",""นครปฐม!M296"")"),127673)</f>
        <v>127673</v>
      </c>
      <c r="O401" s="373">
        <f ca="1">+IF(L401&gt;0,N401*100/L401,0)</f>
        <v>98.02149712092131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IFERROR(__xludf.DUMMYFUNCTION("IMPORTRANGE(""https://docs.google.com/spreadsheets/d/1SX6NBoVAgQJ6U1MVXOaj8PK2l7WJ3RER9xtqwdhxkhw/edit?usp=sharing"",""นครปฐม!I297"")"),50)</f>
        <v>50</v>
      </c>
      <c r="J402" s="371">
        <f ca="1">IFERROR(__xludf.DUMMYFUNCTION("IMPORTRANGE(""https://docs.google.com/spreadsheets/d/1SX6NBoVAgQJ6U1MVXOaj8PK2l7WJ3RER9xtqwdhxkhw/edit?usp=sharing"",""นครปฐม!J297"")"),50)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IFERROR(__xludf.DUMMYFUNCTION("IMPORTRANGE(""https://docs.google.com/spreadsheets/d/1SX6NBoVAgQJ6U1MVXOaj8PK2l7WJ3RER9xtqwdhxkhw/edit?usp=sharing"",""นครปฐม!L298"")"),0)</f>
        <v>0</v>
      </c>
      <c r="M403" s="164"/>
      <c r="N403" s="169">
        <f ca="1">IFERROR(__xludf.DUMMYFUNCTION("IMPORTRANGE(""https://docs.google.com/spreadsheets/d/1SX6NBoVAgQJ6U1MVXOaj8PK2l7WJ3RER9xtqwdhxkhw/edit?usp=sharing"",""นครปฐม!M298"")"),0)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IFERROR(__xludf.DUMMYFUNCTION("IMPORTRANGE(""https://docs.google.com/spreadsheets/d/1SX6NBoVAgQJ6U1MVXOaj8PK2l7WJ3RER9xtqwdhxkhw/edit?usp=sharing"",""นครปฐม!L299"")"),130250)</f>
        <v>130250</v>
      </c>
      <c r="M404" s="165"/>
      <c r="N404" s="169">
        <f ca="1">IFERROR(__xludf.DUMMYFUNCTION("IMPORTRANGE(""https://docs.google.com/spreadsheets/d/1SX6NBoVAgQJ6U1MVXOaj8PK2l7WJ3RER9xtqwdhxkhw/edit?usp=sharing"",""นครปฐม!M299"")"),127673)</f>
        <v>127673</v>
      </c>
      <c r="O404" s="169">
        <f t="shared" ca="1" si="112"/>
        <v>98.02149712092131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IFERROR(__xludf.DUMMYFUNCTION("IMPORTRANGE(""https://docs.google.com/spreadsheets/d/1SX6NBoVAgQJ6U1MVXOaj8PK2l7WJ3RER9xtqwdhxkhw/edit?usp=sharing"",""นครปฐม!L300"")"),0)</f>
        <v>0</v>
      </c>
      <c r="M405" s="169"/>
      <c r="N405" s="169">
        <f ca="1">IFERROR(__xludf.DUMMYFUNCTION("IMPORTRANGE(""https://docs.google.com/spreadsheets/d/1SX6NBoVAgQJ6U1MVXOaj8PK2l7WJ3RER9xtqwdhxkhw/edit?usp=sharing"",""นครปฐม!M300"")"),0)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IFERROR(__xludf.DUMMYFUNCTION("IMPORTRANGE(""https://docs.google.com/spreadsheets/d/1SX6NBoVAgQJ6U1MVXOaj8PK2l7WJ3RER9xtqwdhxkhw/edit?usp=sharing"",""นครปฐม!L301"")"),130250)</f>
        <v>130250</v>
      </c>
      <c r="M406" s="169"/>
      <c r="N406" s="169">
        <f ca="1">IFERROR(__xludf.DUMMYFUNCTION("IMPORTRANGE(""https://docs.google.com/spreadsheets/d/1SX6NBoVAgQJ6U1MVXOaj8PK2l7WJ3RER9xtqwdhxkhw/edit?usp=sharing"",""นครปฐม!M301"")"),127673)</f>
        <v>127673</v>
      </c>
      <c r="O406" s="169">
        <f t="shared" ca="1" si="112"/>
        <v>98.02149712092131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IFERROR(__xludf.DUMMYFUNCTION("IMPORTRANGE(""https://docs.google.com/spreadsheets/d/1SX6NBoVAgQJ6U1MVXOaj8PK2l7WJ3RER9xtqwdhxkhw/edit?usp=sharing"",""นครปฐม!M302"")"),74550)</f>
        <v>74550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IFERROR(__xludf.DUMMYFUNCTION("IMPORTRANGE(""https://docs.google.com/spreadsheets/d/1SX6NBoVAgQJ6U1MVXOaj8PK2l7WJ3RER9xtqwdhxkhw/edit?usp=sharing"",""นครปฐม!M303"")"),28000)</f>
        <v>28000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IFERROR(__xludf.DUMMYFUNCTION("IMPORTRANGE(""https://docs.google.com/spreadsheets/d/1SX6NBoVAgQJ6U1MVXOaj8PK2l7WJ3RER9xtqwdhxkhw/edit?usp=sharing"",""นครปฐม!M304"")"),0)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IFERROR(__xludf.DUMMYFUNCTION("IMPORTRANGE(""https://docs.google.com/spreadsheets/d/1SX6NBoVAgQJ6U1MVXOaj8PK2l7WJ3RER9xtqwdhxkhw/edit?usp=sharing"",""นครปฐม!M305"")"),25123)</f>
        <v>25123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IFERROR(__xludf.DUMMYFUNCTION("IMPORTRANGE(""https://docs.google.com/spreadsheets/d/1SX6NBoVAgQJ6U1MVXOaj8PK2l7WJ3RER9xtqwdhxkhw/edit?usp=sharing"",""นครปฐม!J307"")"),0)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IFERROR(__xludf.DUMMYFUNCTION("IMPORTRANGE(""https://docs.google.com/spreadsheets/d/1SX6NBoVAgQJ6U1MVXOaj8PK2l7WJ3RER9xtqwdhxkhw/edit?usp=sharing"",""นครปฐม!J308"")"),1)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IFERROR(__xludf.DUMMYFUNCTION("IMPORTRANGE(""https://docs.google.com/spreadsheets/d/1SX6NBoVAgQJ6U1MVXOaj8PK2l7WJ3RER9xtqwdhxkhw/edit?usp=sharing"",""นครปฐม!J309"")"),1)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IFERROR(__xludf.DUMMYFUNCTION("IMPORTRANGE(""https://docs.google.com/spreadsheets/d/1SX6NBoVAgQJ6U1MVXOaj8PK2l7WJ3RER9xtqwdhxkhw/edit?usp=sharing"",""นครปฐม!J310"")"),1)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IFERROR(__xludf.DUMMYFUNCTION("IMPORTRANGE(""https://docs.google.com/spreadsheets/d/1SX6NBoVAgQJ6U1MVXOaj8PK2l7WJ3RER9xtqwdhxkhw/edit?usp=sharing"",""นครปฐม!I311"")"),50)</f>
        <v>50</v>
      </c>
      <c r="J416" s="201">
        <f ca="1">IFERROR(__xludf.DUMMYFUNCTION("IMPORTRANGE(""https://docs.google.com/spreadsheets/d/1SX6NBoVAgQJ6U1MVXOaj8PK2l7WJ3RER9xtqwdhxkhw/edit?usp=sharing"",""นครปฐม!J311"")"),50)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IFERROR(__xludf.DUMMYFUNCTION("IMPORTRANGE(""https://docs.google.com/spreadsheets/d/1SX6NBoVAgQJ6U1MVXOaj8PK2l7WJ3RER9xtqwdhxkhw/edit?usp=sharing"",""นครปฐม!I312"")"),0)</f>
        <v>0</v>
      </c>
      <c r="J417" s="392">
        <f ca="1">IFERROR(__xludf.DUMMYFUNCTION("IMPORTRANGE(""https://docs.google.com/spreadsheets/d/1SX6NBoVAgQJ6U1MVXOaj8PK2l7WJ3RER9xtqwdhxkhw/edit?usp=sharing"",""นครปฐม!J312"")"),0)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IFERROR(__xludf.DUMMYFUNCTION("IMPORTRANGE(""https://docs.google.com/spreadsheets/d/1SX6NBoVAgQJ6U1MVXOaj8PK2l7WJ3RER9xtqwdhxkhw/edit?usp=sharing"",""นครปฐม!I313"")"),0)</f>
        <v>0</v>
      </c>
      <c r="J418" s="393">
        <f ca="1">IFERROR(__xludf.DUMMYFUNCTION("IMPORTRANGE(""https://docs.google.com/spreadsheets/d/1SX6NBoVAgQJ6U1MVXOaj8PK2l7WJ3RER9xtqwdhxkhw/edit?usp=sharing"",""นครปฐม!J313"")"),0)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IFERROR(__xludf.DUMMYFUNCTION("IMPORTRANGE(""https://docs.google.com/spreadsheets/d/1SX6NBoVAgQJ6U1MVXOaj8PK2l7WJ3RER9xtqwdhxkhw/edit?usp=sharing"",""นครปฐม!I314"")"),0)</f>
        <v>0</v>
      </c>
      <c r="J419" s="394">
        <f ca="1">IFERROR(__xludf.DUMMYFUNCTION("IMPORTRANGE(""https://docs.google.com/spreadsheets/d/1SX6NBoVAgQJ6U1MVXOaj8PK2l7WJ3RER9xtqwdhxkhw/edit?usp=sharing"",""นครปฐม!J314"")"),0)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IFERROR(__xludf.DUMMYFUNCTION("IMPORTRANGE(""https://docs.google.com/spreadsheets/d/1SX6NBoVAgQJ6U1MVXOaj8PK2l7WJ3RER9xtqwdhxkhw/edit?usp=sharing"",""นครปฐม!I315"")"),0)</f>
        <v>0</v>
      </c>
      <c r="J420" s="394">
        <f ca="1">IFERROR(__xludf.DUMMYFUNCTION("IMPORTRANGE(""https://docs.google.com/spreadsheets/d/1SX6NBoVAgQJ6U1MVXOaj8PK2l7WJ3RER9xtqwdhxkhw/edit?usp=sharing"",""นครปฐม!J315"")"),0)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IFERROR(__xludf.DUMMYFUNCTION("IMPORTRANGE(""https://docs.google.com/spreadsheets/d/1SX6NBoVAgQJ6U1MVXOaj8PK2l7WJ3RER9xtqwdhxkhw/edit?usp=sharing"",""นครปฐม!I316"")"),40)</f>
        <v>40</v>
      </c>
      <c r="J421" s="392">
        <f ca="1">IFERROR(__xludf.DUMMYFUNCTION("IMPORTRANGE(""https://docs.google.com/spreadsheets/d/1SX6NBoVAgQJ6U1MVXOaj8PK2l7WJ3RER9xtqwdhxkhw/edit?usp=sharing"",""นครปฐม!J316"")"),40)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IFERROR(__xludf.DUMMYFUNCTION("IMPORTRANGE(""https://docs.google.com/spreadsheets/d/1SX6NBoVAgQJ6U1MVXOaj8PK2l7WJ3RER9xtqwdhxkhw/edit?usp=sharing"",""นครปฐม!I317"")"),120)</f>
        <v>120</v>
      </c>
      <c r="J422" s="393">
        <f ca="1">IFERROR(__xludf.DUMMYFUNCTION("IMPORTRANGE(""https://docs.google.com/spreadsheets/d/1SX6NBoVAgQJ6U1MVXOaj8PK2l7WJ3RER9xtqwdhxkhw/edit?usp=sharing"",""นครปฐม!J317"")"),120)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IFERROR(__xludf.DUMMYFUNCTION("IMPORTRANGE(""https://docs.google.com/spreadsheets/d/1SX6NBoVAgQJ6U1MVXOaj8PK2l7WJ3RER9xtqwdhxkhw/edit?usp=sharing"",""นครปฐม!I318"")"),40)</f>
        <v>40</v>
      </c>
      <c r="J423" s="394">
        <f ca="1">IFERROR(__xludf.DUMMYFUNCTION("IMPORTRANGE(""https://docs.google.com/spreadsheets/d/1SX6NBoVAgQJ6U1MVXOaj8PK2l7WJ3RER9xtqwdhxkhw/edit?usp=sharing"",""นครปฐม!J318"")"),40)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IFERROR(__xludf.DUMMYFUNCTION("IMPORTRANGE(""https://docs.google.com/spreadsheets/d/1SX6NBoVAgQJ6U1MVXOaj8PK2l7WJ3RER9xtqwdhxkhw/edit?usp=sharing"",""นครปฐม!I319"")"),40)</f>
        <v>40</v>
      </c>
      <c r="J424" s="394">
        <f ca="1">IFERROR(__xludf.DUMMYFUNCTION("IMPORTRANGE(""https://docs.google.com/spreadsheets/d/1SX6NBoVAgQJ6U1MVXOaj8PK2l7WJ3RER9xtqwdhxkhw/edit?usp=sharing"",""นครปฐม!J319"")"),40)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IFERROR(__xludf.DUMMYFUNCTION("IMPORTRANGE(""https://docs.google.com/spreadsheets/d/1SX6NBoVAgQJ6U1MVXOaj8PK2l7WJ3RER9xtqwdhxkhw/edit?usp=sharing"",""นครปฐม!I320"")"),40)</f>
        <v>40</v>
      </c>
      <c r="J425" s="394">
        <f ca="1">IFERROR(__xludf.DUMMYFUNCTION("IMPORTRANGE(""https://docs.google.com/spreadsheets/d/1SX6NBoVAgQJ6U1MVXOaj8PK2l7WJ3RER9xtqwdhxkhw/edit?usp=sharing"",""นครปฐม!J320"")"),40)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IFERROR(__xludf.DUMMYFUNCTION("IMPORTRANGE(""https://docs.google.com/spreadsheets/d/1SX6NBoVAgQJ6U1MVXOaj8PK2l7WJ3RER9xtqwdhxkhw/edit?usp=sharing"",""นครปฐม!I321"")"),10)</f>
        <v>10</v>
      </c>
      <c r="J426" s="392">
        <f ca="1">IFERROR(__xludf.DUMMYFUNCTION("IMPORTRANGE(""https://docs.google.com/spreadsheets/d/1SX6NBoVAgQJ6U1MVXOaj8PK2l7WJ3RER9xtqwdhxkhw/edit?usp=sharing"",""นครปฐม!J321"")"),10)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IFERROR(__xludf.DUMMYFUNCTION("IMPORTRANGE(""https://docs.google.com/spreadsheets/d/1SX6NBoVAgQJ6U1MVXOaj8PK2l7WJ3RER9xtqwdhxkhw/edit?usp=sharing"",""นครปฐม!I322"")"),30)</f>
        <v>30</v>
      </c>
      <c r="J427" s="393">
        <f ca="1">IFERROR(__xludf.DUMMYFUNCTION("IMPORTRANGE(""https://docs.google.com/spreadsheets/d/1SX6NBoVAgQJ6U1MVXOaj8PK2l7WJ3RER9xtqwdhxkhw/edit?usp=sharing"",""นครปฐม!J322"")"),30)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IFERROR(__xludf.DUMMYFUNCTION("IMPORTRANGE(""https://docs.google.com/spreadsheets/d/1SX6NBoVAgQJ6U1MVXOaj8PK2l7WJ3RER9xtqwdhxkhw/edit?usp=sharing"",""นครปฐม!I323"")"),10)</f>
        <v>10</v>
      </c>
      <c r="J428" s="394">
        <f ca="1">IFERROR(__xludf.DUMMYFUNCTION("IMPORTRANGE(""https://docs.google.com/spreadsheets/d/1SX6NBoVAgQJ6U1MVXOaj8PK2l7WJ3RER9xtqwdhxkhw/edit?usp=sharing"",""นครปฐม!J323"")"),10)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IFERROR(__xludf.DUMMYFUNCTION("IMPORTRANGE(""https://docs.google.com/spreadsheets/d/1SX6NBoVAgQJ6U1MVXOaj8PK2l7WJ3RER9xtqwdhxkhw/edit?usp=sharing"",""นครปฐม!I324"")"),10)</f>
        <v>10</v>
      </c>
      <c r="J429" s="394">
        <f ca="1">IFERROR(__xludf.DUMMYFUNCTION("IMPORTRANGE(""https://docs.google.com/spreadsheets/d/1SX6NBoVAgQJ6U1MVXOaj8PK2l7WJ3RER9xtqwdhxkhw/edit?usp=sharing"",""นครปฐม!J324"")"),10)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IFERROR(__xludf.DUMMYFUNCTION("IMPORTRANGE(""https://docs.google.com/spreadsheets/d/1SX6NBoVAgQJ6U1MVXOaj8PK2l7WJ3RER9xtqwdhxkhw/edit?usp=sharing"",""นครปฐม!I325"")"),40)</f>
        <v>40</v>
      </c>
      <c r="J430" s="392">
        <f ca="1">IFERROR(__xludf.DUMMYFUNCTION("IMPORTRANGE(""https://docs.google.com/spreadsheets/d/1SX6NBoVAgQJ6U1MVXOaj8PK2l7WJ3RER9xtqwdhxkhw/edit?usp=sharing"",""นครปฐม!J325"")"),40)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IFERROR(__xludf.DUMMYFUNCTION("IMPORTRANGE(""https://docs.google.com/spreadsheets/d/1SX6NBoVAgQJ6U1MVXOaj8PK2l7WJ3RER9xtqwdhxkhw/edit?usp=sharing"",""นครปฐม!I326"")"),0)</f>
        <v>0</v>
      </c>
      <c r="J431" s="394">
        <f ca="1">IFERROR(__xludf.DUMMYFUNCTION("IMPORTRANGE(""https://docs.google.com/spreadsheets/d/1SX6NBoVAgQJ6U1MVXOaj8PK2l7WJ3RER9xtqwdhxkhw/edit?usp=sharing"",""นครปฐม!J326"")"),0)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IFERROR(__xludf.DUMMYFUNCTION("IMPORTRANGE(""https://docs.google.com/spreadsheets/d/1SX6NBoVAgQJ6U1MVXOaj8PK2l7WJ3RER9xtqwdhxkhw/edit?usp=sharing"",""นครปฐม!I327"")"),40)</f>
        <v>40</v>
      </c>
      <c r="J432" s="394">
        <f ca="1">IFERROR(__xludf.DUMMYFUNCTION("IMPORTRANGE(""https://docs.google.com/spreadsheets/d/1SX6NBoVAgQJ6U1MVXOaj8PK2l7WJ3RER9xtqwdhxkhw/edit?usp=sharing"",""นครปฐม!J327"")"),40)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IFERROR(__xludf.DUMMYFUNCTION("IMPORTRANGE(""https://docs.google.com/spreadsheets/d/1SX6NBoVAgQJ6U1MVXOaj8PK2l7WJ3RER9xtqwdhxkhw/edit?usp=sharing"",""นครปฐม!J328"")"),0)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IFERROR(__xludf.DUMMYFUNCTION("IMPORTRANGE(""https://docs.google.com/spreadsheets/d/1SX6NBoVAgQJ6U1MVXOaj8PK2l7WJ3RER9xtqwdhxkhw/edit?usp=sharing"",""นครปฐม!J329"")"),0)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IFERROR(__xludf.DUMMYFUNCTION("IMPORTRANGE(""https://docs.google.com/spreadsheets/d/1SX6NBoVAgQJ6U1MVXOaj8PK2l7WJ3RER9xtqwdhxkhw/edit?usp=sharing"",""นครปฐม!I330"")"),10)</f>
        <v>10</v>
      </c>
      <c r="J435" s="410">
        <f ca="1">IFERROR(__xludf.DUMMYFUNCTION("IMPORTRANGE(""https://docs.google.com/spreadsheets/d/1SX6NBoVAgQJ6U1MVXOaj8PK2l7WJ3RER9xtqwdhxkhw/edit?usp=sharing"",""นครปฐม!J330"")"),10)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IFERROR(__xludf.DUMMYFUNCTION("IMPORTRANGE(""https://docs.google.com/spreadsheets/d/1SX6NBoVAgQJ6U1MVXOaj8PK2l7WJ3RER9xtqwdhxkhw/edit?usp=sharing"",""นครปฐม!L330"")"),88600)</f>
        <v>88600</v>
      </c>
      <c r="M435" s="412"/>
      <c r="N435" s="412">
        <f ca="1">IFERROR(__xludf.DUMMYFUNCTION("IMPORTRANGE(""https://docs.google.com/spreadsheets/d/1SX6NBoVAgQJ6U1MVXOaj8PK2l7WJ3RER9xtqwdhxkhw/edit?usp=sharing"",""นครปฐม!M330"")"),71021)</f>
        <v>71021</v>
      </c>
      <c r="O435" s="412">
        <f t="shared" ref="O435:O439" ca="1" si="114">+IF(L435&gt;0,N435*100/L435,0)</f>
        <v>80.159142212189622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IFERROR(__xludf.DUMMYFUNCTION("IMPORTRANGE(""https://docs.google.com/spreadsheets/d/1SX6NBoVAgQJ6U1MVXOaj8PK2l7WJ3RER9xtqwdhxkhw/edit?usp=sharing"",""นครปฐม!L331"")"),0)</f>
        <v>0</v>
      </c>
      <c r="M436" s="164"/>
      <c r="N436" s="169">
        <f ca="1">IFERROR(__xludf.DUMMYFUNCTION("IMPORTRANGE(""https://docs.google.com/spreadsheets/d/1SX6NBoVAgQJ6U1MVXOaj8PK2l7WJ3RER9xtqwdhxkhw/edit?usp=sharing"",""นครปฐม!M331"")"),0)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IFERROR(__xludf.DUMMYFUNCTION("IMPORTRANGE(""https://docs.google.com/spreadsheets/d/1SX6NBoVAgQJ6U1MVXOaj8PK2l7WJ3RER9xtqwdhxkhw/edit?usp=sharing"",""นครปฐม!L332"")"),88600)</f>
        <v>88600</v>
      </c>
      <c r="M437" s="165"/>
      <c r="N437" s="169">
        <f ca="1">IFERROR(__xludf.DUMMYFUNCTION("IMPORTRANGE(""https://docs.google.com/spreadsheets/d/1SX6NBoVAgQJ6U1MVXOaj8PK2l7WJ3RER9xtqwdhxkhw/edit?usp=sharing"",""นครปฐม!M332"")"),71021)</f>
        <v>71021</v>
      </c>
      <c r="O437" s="169">
        <f t="shared" ca="1" si="114"/>
        <v>80.159142212189622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IFERROR(__xludf.DUMMYFUNCTION("IMPORTRANGE(""https://docs.google.com/spreadsheets/d/1SX6NBoVAgQJ6U1MVXOaj8PK2l7WJ3RER9xtqwdhxkhw/edit?usp=sharing"",""นครปฐม!L333"")"),0)</f>
        <v>0</v>
      </c>
      <c r="M438" s="169"/>
      <c r="N438" s="169">
        <f ca="1">IFERROR(__xludf.DUMMYFUNCTION("IMPORTRANGE(""https://docs.google.com/spreadsheets/d/1SX6NBoVAgQJ6U1MVXOaj8PK2l7WJ3RER9xtqwdhxkhw/edit?usp=sharing"",""นครปฐม!M333"")"),0)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IFERROR(__xludf.DUMMYFUNCTION("IMPORTRANGE(""https://docs.google.com/spreadsheets/d/1SX6NBoVAgQJ6U1MVXOaj8PK2l7WJ3RER9xtqwdhxkhw/edit?usp=sharing"",""นครปฐม!L334"")"),88600)</f>
        <v>88600</v>
      </c>
      <c r="M439" s="169"/>
      <c r="N439" s="169">
        <f ca="1">IFERROR(__xludf.DUMMYFUNCTION("IMPORTRANGE(""https://docs.google.com/spreadsheets/d/1SX6NBoVAgQJ6U1MVXOaj8PK2l7WJ3RER9xtqwdhxkhw/edit?usp=sharing"",""นครปฐม!M334"")"),71021)</f>
        <v>71021</v>
      </c>
      <c r="O439" s="169">
        <f t="shared" ca="1" si="114"/>
        <v>80.159142212189622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IFERROR(__xludf.DUMMYFUNCTION("IMPORTRANGE(""https://docs.google.com/spreadsheets/d/1SX6NBoVAgQJ6U1MVXOaj8PK2l7WJ3RER9xtqwdhxkhw/edit?usp=sharing"",""นครปฐม!M335"")"),20200)</f>
        <v>20200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IFERROR(__xludf.DUMMYFUNCTION("IMPORTRANGE(""https://docs.google.com/spreadsheets/d/1SX6NBoVAgQJ6U1MVXOaj8PK2l7WJ3RER9xtqwdhxkhw/edit?usp=sharing"",""นครปฐม!M336"")"),0)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IFERROR(__xludf.DUMMYFUNCTION("IMPORTRANGE(""https://docs.google.com/spreadsheets/d/1SX6NBoVAgQJ6U1MVXOaj8PK2l7WJ3RER9xtqwdhxkhw/edit?usp=sharing"",""นครปฐม!M337"")"),0)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IFERROR(__xludf.DUMMYFUNCTION("IMPORTRANGE(""https://docs.google.com/spreadsheets/d/1SX6NBoVAgQJ6U1MVXOaj8PK2l7WJ3RER9xtqwdhxkhw/edit?usp=sharing"",""นครปฐม!M338"")"),50821)</f>
        <v>50821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IFERROR(__xludf.DUMMYFUNCTION("IMPORTRANGE(""https://docs.google.com/spreadsheets/d/1SX6NBoVAgQJ6U1MVXOaj8PK2l7WJ3RER9xtqwdhxkhw/edit?usp=sharing"",""นครปฐม!J340"")"),0)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IFERROR(__xludf.DUMMYFUNCTION("IMPORTRANGE(""https://docs.google.com/spreadsheets/d/1SX6NBoVAgQJ6U1MVXOaj8PK2l7WJ3RER9xtqwdhxkhw/edit?usp=sharing"",""นครปฐม!J341"")"),1)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IFERROR(__xludf.DUMMYFUNCTION("IMPORTRANGE(""https://docs.google.com/spreadsheets/d/1SX6NBoVAgQJ6U1MVXOaj8PK2l7WJ3RER9xtqwdhxkhw/edit?usp=sharing"",""นครปฐม!J342"")"),1)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IFERROR(__xludf.DUMMYFUNCTION("IMPORTRANGE(""https://docs.google.com/spreadsheets/d/1SX6NBoVAgQJ6U1MVXOaj8PK2l7WJ3RER9xtqwdhxkhw/edit?usp=sharing"",""นครปฐม!J343"")"),1)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IFERROR(__xludf.DUMMYFUNCTION("IMPORTRANGE(""https://docs.google.com/spreadsheets/d/1SX6NBoVAgQJ6U1MVXOaj8PK2l7WJ3RER9xtqwdhxkhw/edit?usp=sharing"",""นครปฐม!I344"")"),10)</f>
        <v>10</v>
      </c>
      <c r="J449" s="201">
        <f ca="1">IFERROR(__xludf.DUMMYFUNCTION("IMPORTRANGE(""https://docs.google.com/spreadsheets/d/1SX6NBoVAgQJ6U1MVXOaj8PK2l7WJ3RER9xtqwdhxkhw/edit?usp=sharing"",""นครปฐม!J344"")"),10)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IFERROR(__xludf.DUMMYFUNCTION("IMPORTRANGE(""https://docs.google.com/spreadsheets/d/1SX6NBoVAgQJ6U1MVXOaj8PK2l7WJ3RER9xtqwdhxkhw/edit?usp=sharing"",""นครปฐม!I345"")"),10)</f>
        <v>10</v>
      </c>
      <c r="J450" s="189">
        <f ca="1">IFERROR(__xludf.DUMMYFUNCTION("IMPORTRANGE(""https://docs.google.com/spreadsheets/d/1SX6NBoVAgQJ6U1MVXOaj8PK2l7WJ3RER9xtqwdhxkhw/edit?usp=sharing"",""นครปฐม!J345"")"),10)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IFERROR(__xludf.DUMMYFUNCTION("IMPORTRANGE(""https://docs.google.com/spreadsheets/d/1SX6NBoVAgQJ6U1MVXOaj8PK2l7WJ3RER9xtqwdhxkhw/edit?usp=sharing"",""นครปฐม!I346"")"),0)</f>
        <v>0</v>
      </c>
      <c r="J451" s="188">
        <f ca="1">IFERROR(__xludf.DUMMYFUNCTION("IMPORTRANGE(""https://docs.google.com/spreadsheets/d/1SX6NBoVAgQJ6U1MVXOaj8PK2l7WJ3RER9xtqwdhxkhw/edit?usp=sharing"",""นครปฐม!J346"")"),0)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IFERROR(__xludf.DUMMYFUNCTION("IMPORTRANGE(""https://docs.google.com/spreadsheets/d/1SX6NBoVAgQJ6U1MVXOaj8PK2l7WJ3RER9xtqwdhxkhw/edit?usp=sharing"",""นครปฐม!I347"")"),0)</f>
        <v>0</v>
      </c>
      <c r="J452" s="188">
        <f ca="1">IFERROR(__xludf.DUMMYFUNCTION("IMPORTRANGE(""https://docs.google.com/spreadsheets/d/1SX6NBoVAgQJ6U1MVXOaj8PK2l7WJ3RER9xtqwdhxkhw/edit?usp=sharing"",""นครปฐม!J347"")"),0)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IFERROR(__xludf.DUMMYFUNCTION("IMPORTRANGE(""https://docs.google.com/spreadsheets/d/1SX6NBoVAgQJ6U1MVXOaj8PK2l7WJ3RER9xtqwdhxkhw/edit?usp=sharing"",""นครปฐม!J348"")"),0)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IFERROR(__xludf.DUMMYFUNCTION("IMPORTRANGE(""https://docs.google.com/spreadsheets/d/1SX6NBoVAgQJ6U1MVXOaj8PK2l7WJ3RER9xtqwdhxkhw/edit?usp=sharing"",""นครปฐม!J349"")"),0)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IFERROR(__xludf.DUMMYFUNCTION("IMPORTRANGE(""https://docs.google.com/spreadsheets/d/1SX6NBoVAgQJ6U1MVXOaj8PK2l7WJ3RER9xtqwdhxkhw/edit?usp=sharing"",""นครปฐม!I350"")"),0)</f>
        <v>0</v>
      </c>
      <c r="J455" s="371">
        <f ca="1">IFERROR(__xludf.DUMMYFUNCTION("IMPORTRANGE(""https://docs.google.com/spreadsheets/d/1SX6NBoVAgQJ6U1MVXOaj8PK2l7WJ3RER9xtqwdhxkhw/edit?usp=sharing"",""นครปฐม!J350"")"),0)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IFERROR(__xludf.DUMMYFUNCTION("IMPORTRANGE(""https://docs.google.com/spreadsheets/d/1SX6NBoVAgQJ6U1MVXOaj8PK2l7WJ3RER9xtqwdhxkhw/edit?usp=sharing"",""นครปฐม!L350"")"),0)</f>
        <v>0</v>
      </c>
      <c r="M455" s="373"/>
      <c r="N455" s="373">
        <f ca="1">IFERROR(__xludf.DUMMYFUNCTION("IMPORTRANGE(""https://docs.google.com/spreadsheets/d/1SX6NBoVAgQJ6U1MVXOaj8PK2l7WJ3RER9xtqwdhxkhw/edit?usp=sharing"",""นครปฐม!M350"")"),0)</f>
        <v>0</v>
      </c>
      <c r="O455" s="373">
        <f t="shared" ref="O455:O459" ca="1" si="116">+IF(L455&gt;0,N455*100/L455,0)</f>
        <v>0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IFERROR(__xludf.DUMMYFUNCTION("IMPORTRANGE(""https://docs.google.com/spreadsheets/d/1SX6NBoVAgQJ6U1MVXOaj8PK2l7WJ3RER9xtqwdhxkhw/edit?usp=sharing"",""นครปฐม!L351"")"),0)</f>
        <v>0</v>
      </c>
      <c r="M456" s="164"/>
      <c r="N456" s="169">
        <f ca="1">IFERROR(__xludf.DUMMYFUNCTION("IMPORTRANGE(""https://docs.google.com/spreadsheets/d/1SX6NBoVAgQJ6U1MVXOaj8PK2l7WJ3RER9xtqwdhxkhw/edit?usp=sharing"",""นครปฐม!M351"")"),0)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IFERROR(__xludf.DUMMYFUNCTION("IMPORTRANGE(""https://docs.google.com/spreadsheets/d/1SX6NBoVAgQJ6U1MVXOaj8PK2l7WJ3RER9xtqwdhxkhw/edit?usp=sharing"",""นครปฐม!L352"")"),0)</f>
        <v>0</v>
      </c>
      <c r="M457" s="165"/>
      <c r="N457" s="169">
        <f ca="1">IFERROR(__xludf.DUMMYFUNCTION("IMPORTRANGE(""https://docs.google.com/spreadsheets/d/1SX6NBoVAgQJ6U1MVXOaj8PK2l7WJ3RER9xtqwdhxkhw/edit?usp=sharing"",""นครปฐม!M352"")"),0)</f>
        <v>0</v>
      </c>
      <c r="O457" s="169">
        <f t="shared" ca="1" si="116"/>
        <v>0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IFERROR(__xludf.DUMMYFUNCTION("IMPORTRANGE(""https://docs.google.com/spreadsheets/d/1SX6NBoVAgQJ6U1MVXOaj8PK2l7WJ3RER9xtqwdhxkhw/edit?usp=sharing"",""นครปฐม!L353"")"),0)</f>
        <v>0</v>
      </c>
      <c r="M458" s="169"/>
      <c r="N458" s="169">
        <f ca="1">IFERROR(__xludf.DUMMYFUNCTION("IMPORTRANGE(""https://docs.google.com/spreadsheets/d/1SX6NBoVAgQJ6U1MVXOaj8PK2l7WJ3RER9xtqwdhxkhw/edit?usp=sharing"",""นครปฐม!M353"")"),0)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IFERROR(__xludf.DUMMYFUNCTION("IMPORTRANGE(""https://docs.google.com/spreadsheets/d/1SX6NBoVAgQJ6U1MVXOaj8PK2l7WJ3RER9xtqwdhxkhw/edit?usp=sharing"",""นครปฐม!L354"")"),0)</f>
        <v>0</v>
      </c>
      <c r="M459" s="169"/>
      <c r="N459" s="169">
        <f ca="1">IFERROR(__xludf.DUMMYFUNCTION("IMPORTRANGE(""https://docs.google.com/spreadsheets/d/1SX6NBoVAgQJ6U1MVXOaj8PK2l7WJ3RER9xtqwdhxkhw/edit?usp=sharing"",""นครปฐม!M354"")"),0)</f>
        <v>0</v>
      </c>
      <c r="O459" s="169">
        <f t="shared" ca="1" si="116"/>
        <v>0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IFERROR(__xludf.DUMMYFUNCTION("IMPORTRANGE(""https://docs.google.com/spreadsheets/d/1SX6NBoVAgQJ6U1MVXOaj8PK2l7WJ3RER9xtqwdhxkhw/edit?usp=sharing"",""นครปฐม!M355"")"),0)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IFERROR(__xludf.DUMMYFUNCTION("IMPORTRANGE(""https://docs.google.com/spreadsheets/d/1SX6NBoVAgQJ6U1MVXOaj8PK2l7WJ3RER9xtqwdhxkhw/edit?usp=sharing"",""นครปฐม!M356"")"),0)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IFERROR(__xludf.DUMMYFUNCTION("IMPORTRANGE(""https://docs.google.com/spreadsheets/d/1SX6NBoVAgQJ6U1MVXOaj8PK2l7WJ3RER9xtqwdhxkhw/edit?usp=sharing"",""นครปฐม!M357"")"),0)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IFERROR(__xludf.DUMMYFUNCTION("IMPORTRANGE(""https://docs.google.com/spreadsheets/d/1SX6NBoVAgQJ6U1MVXOaj8PK2l7WJ3RER9xtqwdhxkhw/edit?usp=sharing"",""นครปฐม!M358"")"),0)</f>
        <v>0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IFERROR(__xludf.DUMMYFUNCTION("IMPORTRANGE(""https://docs.google.com/spreadsheets/d/1SX6NBoVAgQJ6U1MVXOaj8PK2l7WJ3RER9xtqwdhxkhw/edit?usp=sharing"",""นครปฐม!I359"")"),0)</f>
        <v>0</v>
      </c>
      <c r="J464" s="268">
        <f ca="1">IFERROR(__xludf.DUMMYFUNCTION("IMPORTRANGE(""https://docs.google.com/spreadsheets/d/1SX6NBoVAgQJ6U1MVXOaj8PK2l7WJ3RER9xtqwdhxkhw/edit?usp=sharing"",""นครปฐม!J359"")"),0)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IFERROR(__xludf.DUMMYFUNCTION("IMPORTRANGE(""https://docs.google.com/spreadsheets/d/1SX6NBoVAgQJ6U1MVXOaj8PK2l7WJ3RER9xtqwdhxkhw/edit?usp=sharing"",""นครปฐม!I360"")"),0)</f>
        <v>0</v>
      </c>
      <c r="J465" s="420">
        <f ca="1">IFERROR(__xludf.DUMMYFUNCTION("IMPORTRANGE(""https://docs.google.com/spreadsheets/d/1SX6NBoVAgQJ6U1MVXOaj8PK2l7WJ3RER9xtqwdhxkhw/edit?usp=sharing"",""นครปฐม!J360"")"),0)</f>
        <v>0</v>
      </c>
      <c r="K465" s="202">
        <f t="shared" ca="1" si="117"/>
        <v>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IFERROR(__xludf.DUMMYFUNCTION("IMPORTRANGE(""https://docs.google.com/spreadsheets/d/1SX6NBoVAgQJ6U1MVXOaj8PK2l7WJ3RER9xtqwdhxkhw/edit?usp=sharing"",""นครปฐม!I361"")"),0)</f>
        <v>0</v>
      </c>
      <c r="J466" s="420">
        <f ca="1">IFERROR(__xludf.DUMMYFUNCTION("IMPORTRANGE(""https://docs.google.com/spreadsheets/d/1SX6NBoVAgQJ6U1MVXOaj8PK2l7WJ3RER9xtqwdhxkhw/edit?usp=sharing"",""นครปฐม!J361"")"),0)</f>
        <v>0</v>
      </c>
      <c r="K466" s="202">
        <f t="shared" ca="1" si="117"/>
        <v>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IFERROR(__xludf.DUMMYFUNCTION("IMPORTRANGE(""https://docs.google.com/spreadsheets/d/1SX6NBoVAgQJ6U1MVXOaj8PK2l7WJ3RER9xtqwdhxkhw/edit?usp=sharing"",""นครปฐม!I362"")"),0)</f>
        <v>0</v>
      </c>
      <c r="J467" s="189">
        <f ca="1">IFERROR(__xludf.DUMMYFUNCTION("IMPORTRANGE(""https://docs.google.com/spreadsheets/d/1SX6NBoVAgQJ6U1MVXOaj8PK2l7WJ3RER9xtqwdhxkhw/edit?usp=sharing"",""นครปฐม!J362"")"),0)</f>
        <v>0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IFERROR(__xludf.DUMMYFUNCTION("IMPORTRANGE(""https://docs.google.com/spreadsheets/d/1SX6NBoVAgQJ6U1MVXOaj8PK2l7WJ3RER9xtqwdhxkhw/edit?usp=sharing"",""นครปฐม!I363"")"),0)</f>
        <v>0</v>
      </c>
      <c r="J468" s="189">
        <f ca="1">IFERROR(__xludf.DUMMYFUNCTION("IMPORTRANGE(""https://docs.google.com/spreadsheets/d/1SX6NBoVAgQJ6U1MVXOaj8PK2l7WJ3RER9xtqwdhxkhw/edit?usp=sharing"",""นครปฐม!J363"")"),0)</f>
        <v>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IFERROR(__xludf.DUMMYFUNCTION("IMPORTRANGE(""https://docs.google.com/spreadsheets/d/1SX6NBoVAgQJ6U1MVXOaj8PK2l7WJ3RER9xtqwdhxkhw/edit?usp=sharing"",""นครปฐม!I364"")"),0)</f>
        <v>0</v>
      </c>
      <c r="J469" s="189">
        <f ca="1">IFERROR(__xludf.DUMMYFUNCTION("IMPORTRANGE(""https://docs.google.com/spreadsheets/d/1SX6NBoVAgQJ6U1MVXOaj8PK2l7WJ3RER9xtqwdhxkhw/edit?usp=sharing"",""นครปฐม!J364"")"),0)</f>
        <v>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IFERROR(__xludf.DUMMYFUNCTION("IMPORTRANGE(""https://docs.google.com/spreadsheets/d/1SX6NBoVAgQJ6U1MVXOaj8PK2l7WJ3RER9xtqwdhxkhw/edit?usp=sharing"",""นครปฐม!I365"")"),0)</f>
        <v>0</v>
      </c>
      <c r="J470" s="189">
        <f ca="1">IFERROR(__xludf.DUMMYFUNCTION("IMPORTRANGE(""https://docs.google.com/spreadsheets/d/1SX6NBoVAgQJ6U1MVXOaj8PK2l7WJ3RER9xtqwdhxkhw/edit?usp=sharing"",""นครปฐม!J365"")"),0)</f>
        <v>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IFERROR(__xludf.DUMMYFUNCTION("IMPORTRANGE(""https://docs.google.com/spreadsheets/d/1SX6NBoVAgQJ6U1MVXOaj8PK2l7WJ3RER9xtqwdhxkhw/edit?usp=sharing"",""นครปฐม!I366"")"),0)</f>
        <v>0</v>
      </c>
      <c r="J471" s="189">
        <f ca="1">IFERROR(__xludf.DUMMYFUNCTION("IMPORTRANGE(""https://docs.google.com/spreadsheets/d/1SX6NBoVAgQJ6U1MVXOaj8PK2l7WJ3RER9xtqwdhxkhw/edit?usp=sharing"",""นครปฐม!J366"")"),0)</f>
        <v>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IFERROR(__xludf.DUMMYFUNCTION("IMPORTRANGE(""https://docs.google.com/spreadsheets/d/1SX6NBoVAgQJ6U1MVXOaj8PK2l7WJ3RER9xtqwdhxkhw/edit?usp=sharing"",""นครปฐม!I367"")"),0)</f>
        <v>0</v>
      </c>
      <c r="J472" s="189">
        <f ca="1">IFERROR(__xludf.DUMMYFUNCTION("IMPORTRANGE(""https://docs.google.com/spreadsheets/d/1SX6NBoVAgQJ6U1MVXOaj8PK2l7WJ3RER9xtqwdhxkhw/edit?usp=sharing"",""นครปฐม!J367"")"),0)</f>
        <v>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IFERROR(__xludf.DUMMYFUNCTION("IMPORTRANGE(""https://docs.google.com/spreadsheets/d/1SX6NBoVAgQJ6U1MVXOaj8PK2l7WJ3RER9xtqwdhxkhw/edit?usp=sharing"",""นครปฐม!I368"")"),0)</f>
        <v>0</v>
      </c>
      <c r="J473" s="420">
        <f ca="1">IFERROR(__xludf.DUMMYFUNCTION("IMPORTRANGE(""https://docs.google.com/spreadsheets/d/1SX6NBoVAgQJ6U1MVXOaj8PK2l7WJ3RER9xtqwdhxkhw/edit?usp=sharing"",""นครปฐม!J368"")"),0)</f>
        <v>0</v>
      </c>
      <c r="K473" s="202">
        <f t="shared" ca="1" si="117"/>
        <v>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IFERROR(__xludf.DUMMYFUNCTION("IMPORTRANGE(""https://docs.google.com/spreadsheets/d/1SX6NBoVAgQJ6U1MVXOaj8PK2l7WJ3RER9xtqwdhxkhw/edit?usp=sharing"",""นครปฐม!I369"")"),0)</f>
        <v>0</v>
      </c>
      <c r="J474" s="420">
        <f ca="1">IFERROR(__xludf.DUMMYFUNCTION("IMPORTRANGE(""https://docs.google.com/spreadsheets/d/1SX6NBoVAgQJ6U1MVXOaj8PK2l7WJ3RER9xtqwdhxkhw/edit?usp=sharing"",""นครปฐม!J369"")"),0)</f>
        <v>0</v>
      </c>
      <c r="K474" s="163">
        <f t="shared" ca="1" si="117"/>
        <v>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IFERROR(__xludf.DUMMYFUNCTION("IMPORTRANGE(""https://docs.google.com/spreadsheets/d/1SX6NBoVAgQJ6U1MVXOaj8PK2l7WJ3RER9xtqwdhxkhw/edit?usp=sharing"",""นครปฐม!I370"")"),0)</f>
        <v>0</v>
      </c>
      <c r="J475" s="189">
        <f ca="1">IFERROR(__xludf.DUMMYFUNCTION("IMPORTRANGE(""https://docs.google.com/spreadsheets/d/1SX6NBoVAgQJ6U1MVXOaj8PK2l7WJ3RER9xtqwdhxkhw/edit?usp=sharing"",""นครปฐม!J370"")"),0)</f>
        <v>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IFERROR(__xludf.DUMMYFUNCTION("IMPORTRANGE(""https://docs.google.com/spreadsheets/d/1SX6NBoVAgQJ6U1MVXOaj8PK2l7WJ3RER9xtqwdhxkhw/edit?usp=sharing"",""นครปฐม!I371"")"),0)</f>
        <v>0</v>
      </c>
      <c r="J476" s="189">
        <f ca="1">IFERROR(__xludf.DUMMYFUNCTION("IMPORTRANGE(""https://docs.google.com/spreadsheets/d/1SX6NBoVAgQJ6U1MVXOaj8PK2l7WJ3RER9xtqwdhxkhw/edit?usp=sharing"",""นครปฐม!J371"")"),0)</f>
        <v>0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IFERROR(__xludf.DUMMYFUNCTION("IMPORTRANGE(""https://docs.google.com/spreadsheets/d/1SX6NBoVAgQJ6U1MVXOaj8PK2l7WJ3RER9xtqwdhxkhw/edit?usp=sharing"",""นครปฐม!I372"")"),0)</f>
        <v>0</v>
      </c>
      <c r="J477" s="189">
        <f ca="1">IFERROR(__xludf.DUMMYFUNCTION("IMPORTRANGE(""https://docs.google.com/spreadsheets/d/1SX6NBoVAgQJ6U1MVXOaj8PK2l7WJ3RER9xtqwdhxkhw/edit?usp=sharing"",""นครปฐม!J372"")"),0)</f>
        <v>0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IFERROR(__xludf.DUMMYFUNCTION("IMPORTRANGE(""https://docs.google.com/spreadsheets/d/1SX6NBoVAgQJ6U1MVXOaj8PK2l7WJ3RER9xtqwdhxkhw/edit?usp=sharing"",""นครปฐม!I373"")"),0)</f>
        <v>0</v>
      </c>
      <c r="J478" s="189">
        <f ca="1">IFERROR(__xludf.DUMMYFUNCTION("IMPORTRANGE(""https://docs.google.com/spreadsheets/d/1SX6NBoVAgQJ6U1MVXOaj8PK2l7WJ3RER9xtqwdhxkhw/edit?usp=sharing"",""นครปฐม!J373"")"),0)</f>
        <v>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IFERROR(__xludf.DUMMYFUNCTION("IMPORTRANGE(""https://docs.google.com/spreadsheets/d/1SX6NBoVAgQJ6U1MVXOaj8PK2l7WJ3RER9xtqwdhxkhw/edit?usp=sharing"",""นครปฐม!I374"")"),0)</f>
        <v>0</v>
      </c>
      <c r="J479" s="189">
        <f ca="1">IFERROR(__xludf.DUMMYFUNCTION("IMPORTRANGE(""https://docs.google.com/spreadsheets/d/1SX6NBoVAgQJ6U1MVXOaj8PK2l7WJ3RER9xtqwdhxkhw/edit?usp=sharing"",""นครปฐม!J374"")"),0)</f>
        <v>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IFERROR(__xludf.DUMMYFUNCTION("IMPORTRANGE(""https://docs.google.com/spreadsheets/d/1SX6NBoVAgQJ6U1MVXOaj8PK2l7WJ3RER9xtqwdhxkhw/edit?usp=sharing"",""นครปฐม!I375"")"),0)</f>
        <v>0</v>
      </c>
      <c r="J480" s="189">
        <f ca="1">IFERROR(__xludf.DUMMYFUNCTION("IMPORTRANGE(""https://docs.google.com/spreadsheets/d/1SX6NBoVAgQJ6U1MVXOaj8PK2l7WJ3RER9xtqwdhxkhw/edit?usp=sharing"",""นครปฐม!J375"")"),0)</f>
        <v>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IFERROR(__xludf.DUMMYFUNCTION("IMPORTRANGE(""https://docs.google.com/spreadsheets/d/1SX6NBoVAgQJ6U1MVXOaj8PK2l7WJ3RER9xtqwdhxkhw/edit?usp=sharing"",""นครปฐม!I376"")"),0)</f>
        <v>0</v>
      </c>
      <c r="J481" s="420">
        <f ca="1">IFERROR(__xludf.DUMMYFUNCTION("IMPORTRANGE(""https://docs.google.com/spreadsheets/d/1SX6NBoVAgQJ6U1MVXOaj8PK2l7WJ3RER9xtqwdhxkhw/edit?usp=sharing"",""นครปฐม!J376"")"),0)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IFERROR(__xludf.DUMMYFUNCTION("IMPORTRANGE(""https://docs.google.com/spreadsheets/d/1SX6NBoVAgQJ6U1MVXOaj8PK2l7WJ3RER9xtqwdhxkhw/edit?usp=sharing"",""นครปฐม!I377"")"),0)</f>
        <v>0</v>
      </c>
      <c r="J482" s="420">
        <f ca="1">IFERROR(__xludf.DUMMYFUNCTION("IMPORTRANGE(""https://docs.google.com/spreadsheets/d/1SX6NBoVAgQJ6U1MVXOaj8PK2l7WJ3RER9xtqwdhxkhw/edit?usp=sharing"",""นครปฐม!J377"")"),0)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IFERROR(__xludf.DUMMYFUNCTION("IMPORTRANGE(""https://docs.google.com/spreadsheets/d/1SX6NBoVAgQJ6U1MVXOaj8PK2l7WJ3RER9xtqwdhxkhw/edit?usp=sharing"",""นครปฐม!I378"")"),0)</f>
        <v>0</v>
      </c>
      <c r="J483" s="189">
        <f ca="1">IFERROR(__xludf.DUMMYFUNCTION("IMPORTRANGE(""https://docs.google.com/spreadsheets/d/1SX6NBoVAgQJ6U1MVXOaj8PK2l7WJ3RER9xtqwdhxkhw/edit?usp=sharing"",""นครปฐม!J378"")"),0)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IFERROR(__xludf.DUMMYFUNCTION("IMPORTRANGE(""https://docs.google.com/spreadsheets/d/1SX6NBoVAgQJ6U1MVXOaj8PK2l7WJ3RER9xtqwdhxkhw/edit?usp=sharing"",""นครปฐม!I379"")"),0)</f>
        <v>0</v>
      </c>
      <c r="J484" s="189">
        <f ca="1">IFERROR(__xludf.DUMMYFUNCTION("IMPORTRANGE(""https://docs.google.com/spreadsheets/d/1SX6NBoVAgQJ6U1MVXOaj8PK2l7WJ3RER9xtqwdhxkhw/edit?usp=sharing"",""นครปฐม!J379"")"),0)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IFERROR(__xludf.DUMMYFUNCTION("IMPORTRANGE(""https://docs.google.com/spreadsheets/d/1SX6NBoVAgQJ6U1MVXOaj8PK2l7WJ3RER9xtqwdhxkhw/edit?usp=sharing"",""นครปฐม!I380"")"),0)</f>
        <v>0</v>
      </c>
      <c r="J485" s="189">
        <f ca="1">IFERROR(__xludf.DUMMYFUNCTION("IMPORTRANGE(""https://docs.google.com/spreadsheets/d/1SX6NBoVAgQJ6U1MVXOaj8PK2l7WJ3RER9xtqwdhxkhw/edit?usp=sharing"",""นครปฐม!J380"")"),0)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IFERROR(__xludf.DUMMYFUNCTION("IMPORTRANGE(""https://docs.google.com/spreadsheets/d/1SX6NBoVAgQJ6U1MVXOaj8PK2l7WJ3RER9xtqwdhxkhw/edit?usp=sharing"",""นครปฐม!I381"")"),0)</f>
        <v>0</v>
      </c>
      <c r="J486" s="189">
        <f ca="1">IFERROR(__xludf.DUMMYFUNCTION("IMPORTRANGE(""https://docs.google.com/spreadsheets/d/1SX6NBoVAgQJ6U1MVXOaj8PK2l7WJ3RER9xtqwdhxkhw/edit?usp=sharing"",""นครปฐม!J381"")"),0)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IFERROR(__xludf.DUMMYFUNCTION("IMPORTRANGE(""https://docs.google.com/spreadsheets/d/1SX6NBoVAgQJ6U1MVXOaj8PK2l7WJ3RER9xtqwdhxkhw/edit?usp=sharing"",""นครปฐม!I382"")"),0)</f>
        <v>0</v>
      </c>
      <c r="J487" s="420">
        <f ca="1">IFERROR(__xludf.DUMMYFUNCTION("IMPORTRANGE(""https://docs.google.com/spreadsheets/d/1SX6NBoVAgQJ6U1MVXOaj8PK2l7WJ3RER9xtqwdhxkhw/edit?usp=sharing"",""นครปฐม!J382"")"),0)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IFERROR(__xludf.DUMMYFUNCTION("IMPORTRANGE(""https://docs.google.com/spreadsheets/d/1SX6NBoVAgQJ6U1MVXOaj8PK2l7WJ3RER9xtqwdhxkhw/edit?usp=sharing"",""นครปฐม!I383"")"),0)</f>
        <v>0</v>
      </c>
      <c r="J488" s="420">
        <f ca="1">IFERROR(__xludf.DUMMYFUNCTION("IMPORTRANGE(""https://docs.google.com/spreadsheets/d/1SX6NBoVAgQJ6U1MVXOaj8PK2l7WJ3RER9xtqwdhxkhw/edit?usp=sharing"",""นครปฐม!J383"")"),0)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IFERROR(__xludf.DUMMYFUNCTION("IMPORTRANGE(""https://docs.google.com/spreadsheets/d/1SX6NBoVAgQJ6U1MVXOaj8PK2l7WJ3RER9xtqwdhxkhw/edit?usp=sharing"",""นครปฐม!I384"")"),0)</f>
        <v>0</v>
      </c>
      <c r="J489" s="189">
        <f ca="1">IFERROR(__xludf.DUMMYFUNCTION("IMPORTRANGE(""https://docs.google.com/spreadsheets/d/1SX6NBoVAgQJ6U1MVXOaj8PK2l7WJ3RER9xtqwdhxkhw/edit?usp=sharing"",""นครปฐม!J384"")"),0)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IFERROR(__xludf.DUMMYFUNCTION("IMPORTRANGE(""https://docs.google.com/spreadsheets/d/1SX6NBoVAgQJ6U1MVXOaj8PK2l7WJ3RER9xtqwdhxkhw/edit?usp=sharing"",""นครปฐม!I385"")"),0)</f>
        <v>0</v>
      </c>
      <c r="J490" s="189">
        <f ca="1">IFERROR(__xludf.DUMMYFUNCTION("IMPORTRANGE(""https://docs.google.com/spreadsheets/d/1SX6NBoVAgQJ6U1MVXOaj8PK2l7WJ3RER9xtqwdhxkhw/edit?usp=sharing"",""นครปฐม!J385"")"),0)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IFERROR(__xludf.DUMMYFUNCTION("IMPORTRANGE(""https://docs.google.com/spreadsheets/d/1SX6NBoVAgQJ6U1MVXOaj8PK2l7WJ3RER9xtqwdhxkhw/edit?usp=sharing"",""นครปฐม!I386"")"),0)</f>
        <v>0</v>
      </c>
      <c r="J491" s="189">
        <f ca="1">IFERROR(__xludf.DUMMYFUNCTION("IMPORTRANGE(""https://docs.google.com/spreadsheets/d/1SX6NBoVAgQJ6U1MVXOaj8PK2l7WJ3RER9xtqwdhxkhw/edit?usp=sharing"",""นครปฐม!J386"")"),0)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IFERROR(__xludf.DUMMYFUNCTION("IMPORTRANGE(""https://docs.google.com/spreadsheets/d/1SX6NBoVAgQJ6U1MVXOaj8PK2l7WJ3RER9xtqwdhxkhw/edit?usp=sharing"",""นครปฐม!I387"")"),0)</f>
        <v>0</v>
      </c>
      <c r="J492" s="189">
        <f ca="1">IFERROR(__xludf.DUMMYFUNCTION("IMPORTRANGE(""https://docs.google.com/spreadsheets/d/1SX6NBoVAgQJ6U1MVXOaj8PK2l7WJ3RER9xtqwdhxkhw/edit?usp=sharing"",""นครปฐม!J387"")"),0)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IFERROR(__xludf.DUMMYFUNCTION("IMPORTRANGE(""https://docs.google.com/spreadsheets/d/1SX6NBoVAgQJ6U1MVXOaj8PK2l7WJ3RER9xtqwdhxkhw/edit?usp=sharing"",""นครปฐม!I388"")"),0)</f>
        <v>0</v>
      </c>
      <c r="J493" s="189">
        <f ca="1">IFERROR(__xludf.DUMMYFUNCTION("IMPORTRANGE(""https://docs.google.com/spreadsheets/d/1SX6NBoVAgQJ6U1MVXOaj8PK2l7WJ3RER9xtqwdhxkhw/edit?usp=sharing"",""นครปฐม!J388"")"),0)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IFERROR(__xludf.DUMMYFUNCTION("IMPORTRANGE(""https://docs.google.com/spreadsheets/d/1SX6NBoVAgQJ6U1MVXOaj8PK2l7WJ3RER9xtqwdhxkhw/edit?usp=sharing"",""นครปฐม!I389"")"),0)</f>
        <v>0</v>
      </c>
      <c r="J494" s="436">
        <f ca="1">IFERROR(__xludf.DUMMYFUNCTION("IMPORTRANGE(""https://docs.google.com/spreadsheets/d/1SX6NBoVAgQJ6U1MVXOaj8PK2l7WJ3RER9xtqwdhxkhw/edit?usp=sharing"",""นครปฐม!J389"")"),0)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IFERROR(__xludf.DUMMYFUNCTION("IMPORTRANGE(""https://docs.google.com/spreadsheets/d/1SX6NBoVAgQJ6U1MVXOaj8PK2l7WJ3RER9xtqwdhxkhw/edit?usp=sharing"",""นครปฐม!I390"")"),0)</f>
        <v>0</v>
      </c>
      <c r="J495" s="436">
        <f ca="1">IFERROR(__xludf.DUMMYFUNCTION("IMPORTRANGE(""https://docs.google.com/spreadsheets/d/1SX6NBoVAgQJ6U1MVXOaj8PK2l7WJ3RER9xtqwdhxkhw/edit?usp=sharing"",""นครปฐม!J390"")"),0)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IFERROR(__xludf.DUMMYFUNCTION("IMPORTRANGE(""https://docs.google.com/spreadsheets/d/1SX6NBoVAgQJ6U1MVXOaj8PK2l7WJ3RER9xtqwdhxkhw/edit?usp=sharing"",""นครปฐม!I391"")"),0)</f>
        <v>0</v>
      </c>
      <c r="J496" s="436">
        <f ca="1">IFERROR(__xludf.DUMMYFUNCTION("IMPORTRANGE(""https://docs.google.com/spreadsheets/d/1SX6NBoVAgQJ6U1MVXOaj8PK2l7WJ3RER9xtqwdhxkhw/edit?usp=sharing"",""นครปฐม!J391"")"),0)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IFERROR(__xludf.DUMMYFUNCTION("IMPORTRANGE(""https://docs.google.com/spreadsheets/d/1SX6NBoVAgQJ6U1MVXOaj8PK2l7WJ3RER9xtqwdhxkhw/edit?usp=sharing"",""นครปฐม!I392"")"),0)</f>
        <v>0</v>
      </c>
      <c r="J497" s="443">
        <f ca="1">IFERROR(__xludf.DUMMYFUNCTION("IMPORTRANGE(""https://docs.google.com/spreadsheets/d/1SX6NBoVAgQJ6U1MVXOaj8PK2l7WJ3RER9xtqwdhxkhw/edit?usp=sharing"",""นครปฐม!J392"")"),0)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IFERROR(__xludf.DUMMYFUNCTION("IMPORTRANGE(""https://docs.google.com/spreadsheets/d/1SX6NBoVAgQJ6U1MVXOaj8PK2l7WJ3RER9xtqwdhxkhw/edit?usp=sharing"",""นครปฐม!I393"")"),0)</f>
        <v>0</v>
      </c>
      <c r="J498" s="420">
        <f ca="1">IFERROR(__xludf.DUMMYFUNCTION("IMPORTRANGE(""https://docs.google.com/spreadsheets/d/1SX6NBoVAgQJ6U1MVXOaj8PK2l7WJ3RER9xtqwdhxkhw/edit?usp=sharing"",""นครปฐม!J393"")"),0)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IFERROR(__xludf.DUMMYFUNCTION("IMPORTRANGE(""https://docs.google.com/spreadsheets/d/1SX6NBoVAgQJ6U1MVXOaj8PK2l7WJ3RER9xtqwdhxkhw/edit?usp=sharing"",""นครปฐม!I394"")"),0)</f>
        <v>0</v>
      </c>
      <c r="J499" s="420">
        <f ca="1">IFERROR(__xludf.DUMMYFUNCTION("IMPORTRANGE(""https://docs.google.com/spreadsheets/d/1SX6NBoVAgQJ6U1MVXOaj8PK2l7WJ3RER9xtqwdhxkhw/edit?usp=sharing"",""นครปฐม!J394"")"),0)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IFERROR(__xludf.DUMMYFUNCTION("IMPORTRANGE(""https://docs.google.com/spreadsheets/d/1SX6NBoVAgQJ6U1MVXOaj8PK2l7WJ3RER9xtqwdhxkhw/edit?usp=sharing"",""นครปฐม!I395"")"),0)</f>
        <v>0</v>
      </c>
      <c r="J500" s="162">
        <f ca="1">IFERROR(__xludf.DUMMYFUNCTION("IMPORTRANGE(""https://docs.google.com/spreadsheets/d/1SX6NBoVAgQJ6U1MVXOaj8PK2l7WJ3RER9xtqwdhxkhw/edit?usp=sharing"",""นครปฐม!J395"")"),0)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IFERROR(__xludf.DUMMYFUNCTION("IMPORTRANGE(""https://docs.google.com/spreadsheets/d/1SX6NBoVAgQJ6U1MVXOaj8PK2l7WJ3RER9xtqwdhxkhw/edit?usp=sharing"",""นครปฐม!I396"")"),0)</f>
        <v>0</v>
      </c>
      <c r="J501" s="162">
        <f ca="1">IFERROR(__xludf.DUMMYFUNCTION("IMPORTRANGE(""https://docs.google.com/spreadsheets/d/1SX6NBoVAgQJ6U1MVXOaj8PK2l7WJ3RER9xtqwdhxkhw/edit?usp=sharing"",""นครปฐม!J396"")"),0)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IFERROR(__xludf.DUMMYFUNCTION("IMPORTRANGE(""https://docs.google.com/spreadsheets/d/1SX6NBoVAgQJ6U1MVXOaj8PK2l7WJ3RER9xtqwdhxkhw/edit?usp=sharing"",""นครปฐม!I397"")"),0)</f>
        <v>0</v>
      </c>
      <c r="J502" s="189">
        <f ca="1">IFERROR(__xludf.DUMMYFUNCTION("IMPORTRANGE(""https://docs.google.com/spreadsheets/d/1SX6NBoVAgQJ6U1MVXOaj8PK2l7WJ3RER9xtqwdhxkhw/edit?usp=sharing"",""นครปฐม!J397"")"),0)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IFERROR(__xludf.DUMMYFUNCTION("IMPORTRANGE(""https://docs.google.com/spreadsheets/d/1SX6NBoVAgQJ6U1MVXOaj8PK2l7WJ3RER9xtqwdhxkhw/edit?usp=sharing"",""นครปฐม!I398"")"),0)</f>
        <v>0</v>
      </c>
      <c r="J503" s="198">
        <f ca="1">IFERROR(__xludf.DUMMYFUNCTION("IMPORTRANGE(""https://docs.google.com/spreadsheets/d/1SX6NBoVAgQJ6U1MVXOaj8PK2l7WJ3RER9xtqwdhxkhw/edit?usp=sharing"",""นครปฐม!J398"")"),0)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IFERROR(__xludf.DUMMYFUNCTION("IMPORTRANGE(""https://docs.google.com/spreadsheets/d/1SX6NBoVAgQJ6U1MVXOaj8PK2l7WJ3RER9xtqwdhxkhw/edit?usp=sharing"",""นครปฐม!I399"")"),0)</f>
        <v>0</v>
      </c>
      <c r="J504" s="189">
        <f ca="1">IFERROR(__xludf.DUMMYFUNCTION("IMPORTRANGE(""https://docs.google.com/spreadsheets/d/1SX6NBoVAgQJ6U1MVXOaj8PK2l7WJ3RER9xtqwdhxkhw/edit?usp=sharing"",""นครปฐม!J399"")"),0)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IFERROR(__xludf.DUMMYFUNCTION("IMPORTRANGE(""https://docs.google.com/spreadsheets/d/1SX6NBoVAgQJ6U1MVXOaj8PK2l7WJ3RER9xtqwdhxkhw/edit?usp=sharing"",""นครปฐม!I400"")"),0)</f>
        <v>0</v>
      </c>
      <c r="J505" s="198">
        <f ca="1">IFERROR(__xludf.DUMMYFUNCTION("IMPORTRANGE(""https://docs.google.com/spreadsheets/d/1SX6NBoVAgQJ6U1MVXOaj8PK2l7WJ3RER9xtqwdhxkhw/edit?usp=sharing"",""นครปฐม!J400"")"),0)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IFERROR(__xludf.DUMMYFUNCTION("IMPORTRANGE(""https://docs.google.com/spreadsheets/d/1SX6NBoVAgQJ6U1MVXOaj8PK2l7WJ3RER9xtqwdhxkhw/edit?usp=sharing"",""นครปฐม!I401"")"),0)</f>
        <v>0</v>
      </c>
      <c r="J506" s="189">
        <f ca="1">IFERROR(__xludf.DUMMYFUNCTION("IMPORTRANGE(""https://docs.google.com/spreadsheets/d/1SX6NBoVAgQJ6U1MVXOaj8PK2l7WJ3RER9xtqwdhxkhw/edit?usp=sharing"",""นครปฐม!J401"")"),0)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IFERROR(__xludf.DUMMYFUNCTION("IMPORTRANGE(""https://docs.google.com/spreadsheets/d/1SX6NBoVAgQJ6U1MVXOaj8PK2l7WJ3RER9xtqwdhxkhw/edit?usp=sharing"",""นครปฐม!I402"")"),0)</f>
        <v>0</v>
      </c>
      <c r="J507" s="198">
        <f ca="1">IFERROR(__xludf.DUMMYFUNCTION("IMPORTRANGE(""https://docs.google.com/spreadsheets/d/1SX6NBoVAgQJ6U1MVXOaj8PK2l7WJ3RER9xtqwdhxkhw/edit?usp=sharing"",""นครปฐม!J402"")"),0)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IFERROR(__xludf.DUMMYFUNCTION("IMPORTRANGE(""https://docs.google.com/spreadsheets/d/1SX6NBoVAgQJ6U1MVXOaj8PK2l7WJ3RER9xtqwdhxkhw/edit?usp=sharing"",""นครปฐม!I403"")"),0)</f>
        <v>0</v>
      </c>
      <c r="J508" s="162">
        <f ca="1">IFERROR(__xludf.DUMMYFUNCTION("IMPORTRANGE(""https://docs.google.com/spreadsheets/d/1SX6NBoVAgQJ6U1MVXOaj8PK2l7WJ3RER9xtqwdhxkhw/edit?usp=sharing"",""นครปฐม!J403"")"),0)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IFERROR(__xludf.DUMMYFUNCTION("IMPORTRANGE(""https://docs.google.com/spreadsheets/d/1SX6NBoVAgQJ6U1MVXOaj8PK2l7WJ3RER9xtqwdhxkhw/edit?usp=sharing"",""นครปฐม!I404"")"),0)</f>
        <v>0</v>
      </c>
      <c r="J509" s="162">
        <f ca="1">IFERROR(__xludf.DUMMYFUNCTION("IMPORTRANGE(""https://docs.google.com/spreadsheets/d/1SX6NBoVAgQJ6U1MVXOaj8PK2l7WJ3RER9xtqwdhxkhw/edit?usp=sharing"",""นครปฐม!J404"")"),0)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IFERROR(__xludf.DUMMYFUNCTION("IMPORTRANGE(""https://docs.google.com/spreadsheets/d/1SX6NBoVAgQJ6U1MVXOaj8PK2l7WJ3RER9xtqwdhxkhw/edit?usp=sharing"",""นครปฐม!I405"")"),0)</f>
        <v>0</v>
      </c>
      <c r="J510" s="198">
        <f ca="1">IFERROR(__xludf.DUMMYFUNCTION("IMPORTRANGE(""https://docs.google.com/spreadsheets/d/1SX6NBoVAgQJ6U1MVXOaj8PK2l7WJ3RER9xtqwdhxkhw/edit?usp=sharing"",""นครปฐม!J405"")"),0)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IFERROR(__xludf.DUMMYFUNCTION("IMPORTRANGE(""https://docs.google.com/spreadsheets/d/1SX6NBoVAgQJ6U1MVXOaj8PK2l7WJ3RER9xtqwdhxkhw/edit?usp=sharing"",""นครปฐม!I406"")"),0)</f>
        <v>0</v>
      </c>
      <c r="J511" s="198">
        <f ca="1">IFERROR(__xludf.DUMMYFUNCTION("IMPORTRANGE(""https://docs.google.com/spreadsheets/d/1SX6NBoVAgQJ6U1MVXOaj8PK2l7WJ3RER9xtqwdhxkhw/edit?usp=sharing"",""นครปฐม!J406"")"),0)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IFERROR(__xludf.DUMMYFUNCTION("IMPORTRANGE(""https://docs.google.com/spreadsheets/d/1SX6NBoVAgQJ6U1MVXOaj8PK2l7WJ3RER9xtqwdhxkhw/edit?usp=sharing"",""นครปฐม!I407"")"),0)</f>
        <v>0</v>
      </c>
      <c r="J512" s="198">
        <f ca="1">IFERROR(__xludf.DUMMYFUNCTION("IMPORTRANGE(""https://docs.google.com/spreadsheets/d/1SX6NBoVAgQJ6U1MVXOaj8PK2l7WJ3RER9xtqwdhxkhw/edit?usp=sharing"",""นครปฐม!J407"")"),0)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IFERROR(__xludf.DUMMYFUNCTION("IMPORTRANGE(""https://docs.google.com/spreadsheets/d/1SX6NBoVAgQJ6U1MVXOaj8PK2l7WJ3RER9xtqwdhxkhw/edit?usp=sharing"",""นครปฐม!I408"")"),0)</f>
        <v>0</v>
      </c>
      <c r="J513" s="198">
        <f ca="1">IFERROR(__xludf.DUMMYFUNCTION("IMPORTRANGE(""https://docs.google.com/spreadsheets/d/1SX6NBoVAgQJ6U1MVXOaj8PK2l7WJ3RER9xtqwdhxkhw/edit?usp=sharing"",""นครปฐม!J408"")"),0)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IFERROR(__xludf.DUMMYFUNCTION("IMPORTRANGE(""https://docs.google.com/spreadsheets/d/1SX6NBoVAgQJ6U1MVXOaj8PK2l7WJ3RER9xtqwdhxkhw/edit?usp=sharing"",""นครปฐม!I409"")"),0)</f>
        <v>0</v>
      </c>
      <c r="J514" s="198">
        <f ca="1">IFERROR(__xludf.DUMMYFUNCTION("IMPORTRANGE(""https://docs.google.com/spreadsheets/d/1SX6NBoVAgQJ6U1MVXOaj8PK2l7WJ3RER9xtqwdhxkhw/edit?usp=sharing"",""นครปฐม!J409"")"),0)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IFERROR(__xludf.DUMMYFUNCTION("IMPORTRANGE(""https://docs.google.com/spreadsheets/d/1SX6NBoVAgQJ6U1MVXOaj8PK2l7WJ3RER9xtqwdhxkhw/edit?usp=sharing"",""นครปฐม!I410"")"),0)</f>
        <v>0</v>
      </c>
      <c r="J515" s="198">
        <f ca="1">IFERROR(__xludf.DUMMYFUNCTION("IMPORTRANGE(""https://docs.google.com/spreadsheets/d/1SX6NBoVAgQJ6U1MVXOaj8PK2l7WJ3RER9xtqwdhxkhw/edit?usp=sharing"",""นครปฐม!J410"")"),0)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IFERROR(__xludf.DUMMYFUNCTION("IMPORTRANGE(""https://docs.google.com/spreadsheets/d/1SX6NBoVAgQJ6U1MVXOaj8PK2l7WJ3RER9xtqwdhxkhw/edit?usp=sharing"",""นครปฐม!I411"")"),0)</f>
        <v>0</v>
      </c>
      <c r="J516" s="268">
        <f ca="1">IFERROR(__xludf.DUMMYFUNCTION("IMPORTRANGE(""https://docs.google.com/spreadsheets/d/1SX6NBoVAgQJ6U1MVXOaj8PK2l7WJ3RER9xtqwdhxkhw/edit?usp=sharing"",""นครปฐม!J411"")"),0)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IFERROR(__xludf.DUMMYFUNCTION("IMPORTRANGE(""https://docs.google.com/spreadsheets/d/1SX6NBoVAgQJ6U1MVXOaj8PK2l7WJ3RER9xtqwdhxkhw/edit?usp=sharing"",""นครปฐม!I412"")"),0)</f>
        <v>0</v>
      </c>
      <c r="J517" s="285">
        <f ca="1">IFERROR(__xludf.DUMMYFUNCTION("IMPORTRANGE(""https://docs.google.com/spreadsheets/d/1SX6NBoVAgQJ6U1MVXOaj8PK2l7WJ3RER9xtqwdhxkhw/edit?usp=sharing"",""นครปฐม!J412"")"),0)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IFERROR(__xludf.DUMMYFUNCTION("IMPORTRANGE(""https://docs.google.com/spreadsheets/d/1SX6NBoVAgQJ6U1MVXOaj8PK2l7WJ3RER9xtqwdhxkhw/edit?usp=sharing"",""นครปฐม!I413"")"),0)</f>
        <v>0</v>
      </c>
      <c r="J518" s="285">
        <f ca="1">IFERROR(__xludf.DUMMYFUNCTION("IMPORTRANGE(""https://docs.google.com/spreadsheets/d/1SX6NBoVAgQJ6U1MVXOaj8PK2l7WJ3RER9xtqwdhxkhw/edit?usp=sharing"",""นครปฐม!J413"")"),0)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IFERROR(__xludf.DUMMYFUNCTION("IMPORTRANGE(""https://docs.google.com/spreadsheets/d/1SX6NBoVAgQJ6U1MVXOaj8PK2l7WJ3RER9xtqwdhxkhw/edit?usp=sharing"",""นครปฐม!I414"")"),0)</f>
        <v>0</v>
      </c>
      <c r="J519" s="188">
        <f ca="1">IFERROR(__xludf.DUMMYFUNCTION("IMPORTRANGE(""https://docs.google.com/spreadsheets/d/1SX6NBoVAgQJ6U1MVXOaj8PK2l7WJ3RER9xtqwdhxkhw/edit?usp=sharing"",""นครปฐม!J414"")"),0)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IFERROR(__xludf.DUMMYFUNCTION("IMPORTRANGE(""https://docs.google.com/spreadsheets/d/1SX6NBoVAgQJ6U1MVXOaj8PK2l7WJ3RER9xtqwdhxkhw/edit?usp=sharing"",""นครปฐม!I415"")"),0)</f>
        <v>0</v>
      </c>
      <c r="J520" s="188">
        <f ca="1">IFERROR(__xludf.DUMMYFUNCTION("IMPORTRANGE(""https://docs.google.com/spreadsheets/d/1SX6NBoVAgQJ6U1MVXOaj8PK2l7WJ3RER9xtqwdhxkhw/edit?usp=sharing"",""นครปฐม!J415"")"),0)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IFERROR(__xludf.DUMMYFUNCTION("IMPORTRANGE(""https://docs.google.com/spreadsheets/d/1SX6NBoVAgQJ6U1MVXOaj8PK2l7WJ3RER9xtqwdhxkhw/edit?usp=sharing"",""นครปฐม!I416"")"),0)</f>
        <v>0</v>
      </c>
      <c r="J521" s="188">
        <f ca="1">IFERROR(__xludf.DUMMYFUNCTION("IMPORTRANGE(""https://docs.google.com/spreadsheets/d/1SX6NBoVAgQJ6U1MVXOaj8PK2l7WJ3RER9xtqwdhxkhw/edit?usp=sharing"",""นครปฐม!J416"")"),0)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IFERROR(__xludf.DUMMYFUNCTION("IMPORTRANGE(""https://docs.google.com/spreadsheets/d/1SX6NBoVAgQJ6U1MVXOaj8PK2l7WJ3RER9xtqwdhxkhw/edit?usp=sharing"",""นครปฐม!I417"")"),0)</f>
        <v>0</v>
      </c>
      <c r="J522" s="188">
        <f ca="1">IFERROR(__xludf.DUMMYFUNCTION("IMPORTRANGE(""https://docs.google.com/spreadsheets/d/1SX6NBoVAgQJ6U1MVXOaj8PK2l7WJ3RER9xtqwdhxkhw/edit?usp=sharing"",""นครปฐม!J417"")"),0)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IFERROR(__xludf.DUMMYFUNCTION("IMPORTRANGE(""https://docs.google.com/spreadsheets/d/1SX6NBoVAgQJ6U1MVXOaj8PK2l7WJ3RER9xtqwdhxkhw/edit?usp=sharing"",""นครปฐม!I418"")"),0)</f>
        <v>0</v>
      </c>
      <c r="J523" s="188">
        <f ca="1">IFERROR(__xludf.DUMMYFUNCTION("IMPORTRANGE(""https://docs.google.com/spreadsheets/d/1SX6NBoVAgQJ6U1MVXOaj8PK2l7WJ3RER9xtqwdhxkhw/edit?usp=sharing"",""นครปฐม!J418"")"),0)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IFERROR(__xludf.DUMMYFUNCTION("IMPORTRANGE(""https://docs.google.com/spreadsheets/d/1SX6NBoVAgQJ6U1MVXOaj8PK2l7WJ3RER9xtqwdhxkhw/edit?usp=sharing"",""นครปฐม!I419"")"),0)</f>
        <v>0</v>
      </c>
      <c r="J524" s="188">
        <f ca="1">IFERROR(__xludf.DUMMYFUNCTION("IMPORTRANGE(""https://docs.google.com/spreadsheets/d/1SX6NBoVAgQJ6U1MVXOaj8PK2l7WJ3RER9xtqwdhxkhw/edit?usp=sharing"",""นครปฐม!J419"")"),0)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IFERROR(__xludf.DUMMYFUNCTION("IMPORTRANGE(""https://docs.google.com/spreadsheets/d/1SX6NBoVAgQJ6U1MVXOaj8PK2l7WJ3RER9xtqwdhxkhw/edit?usp=sharing"",""นครปฐม!I420"")"),0)</f>
        <v>0</v>
      </c>
      <c r="J525" s="285">
        <f ca="1">IFERROR(__xludf.DUMMYFUNCTION("IMPORTRANGE(""https://docs.google.com/spreadsheets/d/1SX6NBoVAgQJ6U1MVXOaj8PK2l7WJ3RER9xtqwdhxkhw/edit?usp=sharing"",""นครปฐม!J420"")"),0)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IFERROR(__xludf.DUMMYFUNCTION("IMPORTRANGE(""https://docs.google.com/spreadsheets/d/1SX6NBoVAgQJ6U1MVXOaj8PK2l7WJ3RER9xtqwdhxkhw/edit?usp=sharing"",""นครปฐม!I421"")"),0)</f>
        <v>0</v>
      </c>
      <c r="J526" s="285">
        <f ca="1">IFERROR(__xludf.DUMMYFUNCTION("IMPORTRANGE(""https://docs.google.com/spreadsheets/d/1SX6NBoVAgQJ6U1MVXOaj8PK2l7WJ3RER9xtqwdhxkhw/edit?usp=sharing"",""นครปฐม!J421"")"),0)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IFERROR(__xludf.DUMMYFUNCTION("IMPORTRANGE(""https://docs.google.com/spreadsheets/d/1SX6NBoVAgQJ6U1MVXOaj8PK2l7WJ3RER9xtqwdhxkhw/edit?usp=sharing"",""นครปฐม!I422"")"),0)</f>
        <v>0</v>
      </c>
      <c r="J527" s="198">
        <f ca="1">IFERROR(__xludf.DUMMYFUNCTION("IMPORTRANGE(""https://docs.google.com/spreadsheets/d/1SX6NBoVAgQJ6U1MVXOaj8PK2l7WJ3RER9xtqwdhxkhw/edit?usp=sharing"",""นครปฐม!J422"")"),0)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IFERROR(__xludf.DUMMYFUNCTION("IMPORTRANGE(""https://docs.google.com/spreadsheets/d/1SX6NBoVAgQJ6U1MVXOaj8PK2l7WJ3RER9xtqwdhxkhw/edit?usp=sharing"",""นครปฐม!I423"")"),0)</f>
        <v>0</v>
      </c>
      <c r="J528" s="198">
        <f ca="1">IFERROR(__xludf.DUMMYFUNCTION("IMPORTRANGE(""https://docs.google.com/spreadsheets/d/1SX6NBoVAgQJ6U1MVXOaj8PK2l7WJ3RER9xtqwdhxkhw/edit?usp=sharing"",""นครปฐม!J423"")"),0)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IFERROR(__xludf.DUMMYFUNCTION("IMPORTRANGE(""https://docs.google.com/spreadsheets/d/1SX6NBoVAgQJ6U1MVXOaj8PK2l7WJ3RER9xtqwdhxkhw/edit?usp=sharing"",""นครปฐม!I424"")"),0)</f>
        <v>0</v>
      </c>
      <c r="J529" s="198">
        <f ca="1">IFERROR(__xludf.DUMMYFUNCTION("IMPORTRANGE(""https://docs.google.com/spreadsheets/d/1SX6NBoVAgQJ6U1MVXOaj8PK2l7WJ3RER9xtqwdhxkhw/edit?usp=sharing"",""นครปฐม!J424"")"),0)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IFERROR(__xludf.DUMMYFUNCTION("IMPORTRANGE(""https://docs.google.com/spreadsheets/d/1SX6NBoVAgQJ6U1MVXOaj8PK2l7WJ3RER9xtqwdhxkhw/edit?usp=sharing"",""นครปฐม!I425"")"),0)</f>
        <v>0</v>
      </c>
      <c r="J530" s="198">
        <f ca="1">IFERROR(__xludf.DUMMYFUNCTION("IMPORTRANGE(""https://docs.google.com/spreadsheets/d/1SX6NBoVAgQJ6U1MVXOaj8PK2l7WJ3RER9xtqwdhxkhw/edit?usp=sharing"",""นครปฐม!J425"")"),0)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IFERROR(__xludf.DUMMYFUNCTION("IMPORTRANGE(""https://docs.google.com/spreadsheets/d/1SX6NBoVAgQJ6U1MVXOaj8PK2l7WJ3RER9xtqwdhxkhw/edit?usp=sharing"",""นครปฐม!I426"")"),0)</f>
        <v>0</v>
      </c>
      <c r="J531" s="198">
        <f ca="1">IFERROR(__xludf.DUMMYFUNCTION("IMPORTRANGE(""https://docs.google.com/spreadsheets/d/1SX6NBoVAgQJ6U1MVXOaj8PK2l7WJ3RER9xtqwdhxkhw/edit?usp=sharing"",""นครปฐม!J426"")"),0)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IFERROR(__xludf.DUMMYFUNCTION("IMPORTRANGE(""https://docs.google.com/spreadsheets/d/1SX6NBoVAgQJ6U1MVXOaj8PK2l7WJ3RER9xtqwdhxkhw/edit?usp=sharing"",""นครปฐม!I427"")"),0)</f>
        <v>0</v>
      </c>
      <c r="J532" s="466">
        <f ca="1">IFERROR(__xludf.DUMMYFUNCTION("IMPORTRANGE(""https://docs.google.com/spreadsheets/d/1SX6NBoVAgQJ6U1MVXOaj8PK2l7WJ3RER9xtqwdhxkhw/edit?usp=sharing"",""นครปฐม!J427"")"),0)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IFERROR(__xludf.DUMMYFUNCTION("IMPORTRANGE(""https://docs.google.com/spreadsheets/d/1SX6NBoVAgQJ6U1MVXOaj8PK2l7WJ3RER9xtqwdhxkhw/edit?usp=sharing"",""นครปฐม!I428"")"),20)</f>
        <v>20</v>
      </c>
      <c r="J533" s="410">
        <f ca="1">IFERROR(__xludf.DUMMYFUNCTION("IMPORTRANGE(""https://docs.google.com/spreadsheets/d/1SX6NBoVAgQJ6U1MVXOaj8PK2l7WJ3RER9xtqwdhxkhw/edit?usp=sharing"",""นครปฐม!J428"")"),20)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IFERROR(__xludf.DUMMYFUNCTION("IMPORTRANGE(""https://docs.google.com/spreadsheets/d/1SX6NBoVAgQJ6U1MVXOaj8PK2l7WJ3RER9xtqwdhxkhw/edit?usp=sharing"",""นครปฐม!L428"")"),32640)</f>
        <v>32640</v>
      </c>
      <c r="M533" s="412"/>
      <c r="N533" s="412">
        <f ca="1">IFERROR(__xludf.DUMMYFUNCTION("IMPORTRANGE(""https://docs.google.com/spreadsheets/d/1SX6NBoVAgQJ6U1MVXOaj8PK2l7WJ3RER9xtqwdhxkhw/edit?usp=sharing"",""นครปฐม!M428"")"),30400)</f>
        <v>30400</v>
      </c>
      <c r="O533" s="412">
        <f t="shared" ref="O533:O537" ca="1" si="118">+IF(L533&gt;0,N533*100/L533,0)</f>
        <v>93.137254901960787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IFERROR(__xludf.DUMMYFUNCTION("IMPORTRANGE(""https://docs.google.com/spreadsheets/d/1SX6NBoVAgQJ6U1MVXOaj8PK2l7WJ3RER9xtqwdhxkhw/edit?usp=sharing"",""นครปฐม!L429"")"),0)</f>
        <v>0</v>
      </c>
      <c r="M534" s="164"/>
      <c r="N534" s="169">
        <f ca="1">IFERROR(__xludf.DUMMYFUNCTION("IMPORTRANGE(""https://docs.google.com/spreadsheets/d/1SX6NBoVAgQJ6U1MVXOaj8PK2l7WJ3RER9xtqwdhxkhw/edit?usp=sharing"",""นครปฐม!M429"")"),0)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IFERROR(__xludf.DUMMYFUNCTION("IMPORTRANGE(""https://docs.google.com/spreadsheets/d/1SX6NBoVAgQJ6U1MVXOaj8PK2l7WJ3RER9xtqwdhxkhw/edit?usp=sharing"",""นครปฐม!L430"")"),32640)</f>
        <v>32640</v>
      </c>
      <c r="M535" s="165"/>
      <c r="N535" s="169">
        <f ca="1">IFERROR(__xludf.DUMMYFUNCTION("IMPORTRANGE(""https://docs.google.com/spreadsheets/d/1SX6NBoVAgQJ6U1MVXOaj8PK2l7WJ3RER9xtqwdhxkhw/edit?usp=sharing"",""นครปฐม!M430"")"),30400)</f>
        <v>30400</v>
      </c>
      <c r="O535" s="169">
        <f t="shared" ca="1" si="118"/>
        <v>93.137254901960787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IFERROR(__xludf.DUMMYFUNCTION("IMPORTRANGE(""https://docs.google.com/spreadsheets/d/1SX6NBoVAgQJ6U1MVXOaj8PK2l7WJ3RER9xtqwdhxkhw/edit?usp=sharing"",""นครปฐม!L431"")"),0)</f>
        <v>0</v>
      </c>
      <c r="M536" s="169"/>
      <c r="N536" s="169">
        <f ca="1">IFERROR(__xludf.DUMMYFUNCTION("IMPORTRANGE(""https://docs.google.com/spreadsheets/d/1SX6NBoVAgQJ6U1MVXOaj8PK2l7WJ3RER9xtqwdhxkhw/edit?usp=sharing"",""นครปฐม!M431"")"),0)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IFERROR(__xludf.DUMMYFUNCTION("IMPORTRANGE(""https://docs.google.com/spreadsheets/d/1SX6NBoVAgQJ6U1MVXOaj8PK2l7WJ3RER9xtqwdhxkhw/edit?usp=sharing"",""นครปฐม!L432"")"),32640)</f>
        <v>32640</v>
      </c>
      <c r="M537" s="169"/>
      <c r="N537" s="169">
        <f ca="1">IFERROR(__xludf.DUMMYFUNCTION("IMPORTRANGE(""https://docs.google.com/spreadsheets/d/1SX6NBoVAgQJ6U1MVXOaj8PK2l7WJ3RER9xtqwdhxkhw/edit?usp=sharing"",""นครปฐม!M432"")"),30400)</f>
        <v>30400</v>
      </c>
      <c r="O537" s="169">
        <f t="shared" ca="1" si="118"/>
        <v>93.137254901960787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IFERROR(__xludf.DUMMYFUNCTION("IMPORTRANGE(""https://docs.google.com/spreadsheets/d/1SX6NBoVAgQJ6U1MVXOaj8PK2l7WJ3RER9xtqwdhxkhw/edit?usp=sharing"",""นครปฐม!M433"")"),17040)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IFERROR(__xludf.DUMMYFUNCTION("IMPORTRANGE(""https://docs.google.com/spreadsheets/d/1SX6NBoVAgQJ6U1MVXOaj8PK2l7WJ3RER9xtqwdhxkhw/edit?usp=sharing"",""นครปฐม!M434"")"),0)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IFERROR(__xludf.DUMMYFUNCTION("IMPORTRANGE(""https://docs.google.com/spreadsheets/d/1SX6NBoVAgQJ6U1MVXOaj8PK2l7WJ3RER9xtqwdhxkhw/edit?usp=sharing"",""นครปฐม!M435"")"),0)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IFERROR(__xludf.DUMMYFUNCTION("IMPORTRANGE(""https://docs.google.com/spreadsheets/d/1SX6NBoVAgQJ6U1MVXOaj8PK2l7WJ3RER9xtqwdhxkhw/edit?usp=sharing"",""นครปฐม!M436"")"),13360)</f>
        <v>13360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IFERROR(__xludf.DUMMYFUNCTION("IMPORTRANGE(""https://docs.google.com/spreadsheets/d/1SX6NBoVAgQJ6U1MVXOaj8PK2l7WJ3RER9xtqwdhxkhw/edit?usp=sharing"",""นครปฐม!J438"")"),0)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IFERROR(__xludf.DUMMYFUNCTION("IMPORTRANGE(""https://docs.google.com/spreadsheets/d/1SX6NBoVAgQJ6U1MVXOaj8PK2l7WJ3RER9xtqwdhxkhw/edit?usp=sharing"",""นครปฐม!J439"")"),1)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IFERROR(__xludf.DUMMYFUNCTION("IMPORTRANGE(""https://docs.google.com/spreadsheets/d/1SX6NBoVAgQJ6U1MVXOaj8PK2l7WJ3RER9xtqwdhxkhw/edit?usp=sharing"",""นครปฐม!J440"")"),1)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IFERROR(__xludf.DUMMYFUNCTION("IMPORTRANGE(""https://docs.google.com/spreadsheets/d/1SX6NBoVAgQJ6U1MVXOaj8PK2l7WJ3RER9xtqwdhxkhw/edit?usp=sharing"",""นครปฐม!J441"")"),1)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IFERROR(__xludf.DUMMYFUNCTION("IMPORTRANGE(""https://docs.google.com/spreadsheets/d/1SX6NBoVAgQJ6U1MVXOaj8PK2l7WJ3RER9xtqwdhxkhw/edit?usp=sharing"",""นครปฐม!I442"")"),20)</f>
        <v>20</v>
      </c>
      <c r="J547" s="189">
        <f ca="1">IFERROR(__xludf.DUMMYFUNCTION("IMPORTRANGE(""https://docs.google.com/spreadsheets/d/1SX6NBoVAgQJ6U1MVXOaj8PK2l7WJ3RER9xtqwdhxkhw/edit?usp=sharing"",""นครปฐม!J442"")"),20)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IFERROR(__xludf.DUMMYFUNCTION("IMPORTRANGE(""https://docs.google.com/spreadsheets/d/1SX6NBoVAgQJ6U1MVXOaj8PK2l7WJ3RER9xtqwdhxkhw/edit?usp=sharing"",""นครปฐม!J166"")"),0)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IFERROR(__xludf.DUMMYFUNCTION("IMPORTRANGE(""https://docs.google.com/spreadsheets/d/1SX6NBoVAgQJ6U1MVXOaj8PK2l7WJ3RER9xtqwdhxkhw/edit?usp=sharing"",""นครปฐม!J444"")"),0)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IFERROR(__xludf.DUMMYFUNCTION("IMPORTRANGE(""https://docs.google.com/spreadsheets/d/1SX6NBoVAgQJ6U1MVXOaj8PK2l7WJ3RER9xtqwdhxkhw/edit?usp=sharing"",""นครปฐม!J445"")"),0)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IFERROR(__xludf.DUMMYFUNCTION("IMPORTRANGE(""https://docs.google.com/spreadsheets/d/1SX6NBoVAgQJ6U1MVXOaj8PK2l7WJ3RER9xtqwdhxkhw/edit?usp=sharing"",""นครปฐม!I446"")"),0)</f>
        <v>0</v>
      </c>
      <c r="J551" s="410">
        <f ca="1">IFERROR(__xludf.DUMMYFUNCTION("IMPORTRANGE(""https://docs.google.com/spreadsheets/d/1SX6NBoVAgQJ6U1MVXOaj8PK2l7WJ3RER9xtqwdhxkhw/edit?usp=sharing"",""นครปฐม!J446"")"),0)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IFERROR(__xludf.DUMMYFUNCTION("IMPORTRANGE(""https://docs.google.com/spreadsheets/d/1SX6NBoVAgQJ6U1MVXOaj8PK2l7WJ3RER9xtqwdhxkhw/edit?usp=sharing"",""นครปฐม!L446"")"),0)</f>
        <v>0</v>
      </c>
      <c r="M551" s="412"/>
      <c r="N551" s="412">
        <f ca="1">IFERROR(__xludf.DUMMYFUNCTION("IMPORTRANGE(""https://docs.google.com/spreadsheets/d/1SX6NBoVAgQJ6U1MVXOaj8PK2l7WJ3RER9xtqwdhxkhw/edit?usp=sharing"",""นครปฐม!M446"")"),0)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IFERROR(__xludf.DUMMYFUNCTION("IMPORTRANGE(""https://docs.google.com/spreadsheets/d/1SX6NBoVAgQJ6U1MVXOaj8PK2l7WJ3RER9xtqwdhxkhw/edit?usp=sharing"",""นครปฐม!L447"")"),0)</f>
        <v>0</v>
      </c>
      <c r="M552" s="164"/>
      <c r="N552" s="169">
        <f ca="1">IFERROR(__xludf.DUMMYFUNCTION("IMPORTRANGE(""https://docs.google.com/spreadsheets/d/1SX6NBoVAgQJ6U1MVXOaj8PK2l7WJ3RER9xtqwdhxkhw/edit?usp=sharing"",""นครปฐม!M447"")"),0)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IFERROR(__xludf.DUMMYFUNCTION("IMPORTRANGE(""https://docs.google.com/spreadsheets/d/1SX6NBoVAgQJ6U1MVXOaj8PK2l7WJ3RER9xtqwdhxkhw/edit?usp=sharing"",""นครปฐม!L448"")"),0)</f>
        <v>0</v>
      </c>
      <c r="M553" s="165"/>
      <c r="N553" s="169">
        <f ca="1">IFERROR(__xludf.DUMMYFUNCTION("IMPORTRANGE(""https://docs.google.com/spreadsheets/d/1SX6NBoVAgQJ6U1MVXOaj8PK2l7WJ3RER9xtqwdhxkhw/edit?usp=sharing"",""นครปฐม!M448"")"),0)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IFERROR(__xludf.DUMMYFUNCTION("IMPORTRANGE(""https://docs.google.com/spreadsheets/d/1SX6NBoVAgQJ6U1MVXOaj8PK2l7WJ3RER9xtqwdhxkhw/edit?usp=sharing"",""นครปฐม!L449"")"),0)</f>
        <v>0</v>
      </c>
      <c r="M554" s="169"/>
      <c r="N554" s="169">
        <f ca="1">IFERROR(__xludf.DUMMYFUNCTION("IMPORTRANGE(""https://docs.google.com/spreadsheets/d/1SX6NBoVAgQJ6U1MVXOaj8PK2l7WJ3RER9xtqwdhxkhw/edit?usp=sharing"",""นครปฐม!M449"")"),0)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IFERROR(__xludf.DUMMYFUNCTION("IMPORTRANGE(""https://docs.google.com/spreadsheets/d/1SX6NBoVAgQJ6U1MVXOaj8PK2l7WJ3RER9xtqwdhxkhw/edit?usp=sharing"",""นครปฐม!L450"")"),0)</f>
        <v>0</v>
      </c>
      <c r="M555" s="169"/>
      <c r="N555" s="169">
        <f ca="1">IFERROR(__xludf.DUMMYFUNCTION("IMPORTRANGE(""https://docs.google.com/spreadsheets/d/1SX6NBoVAgQJ6U1MVXOaj8PK2l7WJ3RER9xtqwdhxkhw/edit?usp=sharing"",""นครปฐม!M450"")"),0)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IFERROR(__xludf.DUMMYFUNCTION("IMPORTRANGE(""https://docs.google.com/spreadsheets/d/1SX6NBoVAgQJ6U1MVXOaj8PK2l7WJ3RER9xtqwdhxkhw/edit?usp=sharing"",""นครปฐม!M451"")"),0)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IFERROR(__xludf.DUMMYFUNCTION("IMPORTRANGE(""https://docs.google.com/spreadsheets/d/1SX6NBoVAgQJ6U1MVXOaj8PK2l7WJ3RER9xtqwdhxkhw/edit?usp=sharing"",""นครปฐม!M452"")"),0)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IFERROR(__xludf.DUMMYFUNCTION("IMPORTRANGE(""https://docs.google.com/spreadsheets/d/1SX6NBoVAgQJ6U1MVXOaj8PK2l7WJ3RER9xtqwdhxkhw/edit?usp=sharing"",""นครปฐม!M453"")"),0)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IFERROR(__xludf.DUMMYFUNCTION("IMPORTRANGE(""https://docs.google.com/spreadsheets/d/1SX6NBoVAgQJ6U1MVXOaj8PK2l7WJ3RER9xtqwdhxkhw/edit?usp=sharing"",""นครปฐม!M454"")"),0)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IFERROR(__xludf.DUMMYFUNCTION("IMPORTRANGE(""https://docs.google.com/spreadsheets/d/1SX6NBoVAgQJ6U1MVXOaj8PK2l7WJ3RER9xtqwdhxkhw/edit?usp=sharing"",""นครปฐม!I455"")"),0)</f>
        <v>0</v>
      </c>
      <c r="J560" s="162">
        <f ca="1">IFERROR(__xludf.DUMMYFUNCTION("IMPORTRANGE(""https://docs.google.com/spreadsheets/d/1SX6NBoVAgQJ6U1MVXOaj8PK2l7WJ3RER9xtqwdhxkhw/edit?usp=sharing"",""นครปฐม!J455"")"),0)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IFERROR(__xludf.DUMMYFUNCTION("IMPORTRANGE(""https://docs.google.com/spreadsheets/d/1SX6NBoVAgQJ6U1MVXOaj8PK2l7WJ3RER9xtqwdhxkhw/edit?usp=sharing"",""นครปฐม!I456"")"),0)</f>
        <v>0</v>
      </c>
      <c r="J561" s="204">
        <f ca="1">IFERROR(__xludf.DUMMYFUNCTION("IMPORTRANGE(""https://docs.google.com/spreadsheets/d/1SX6NBoVAgQJ6U1MVXOaj8PK2l7WJ3RER9xtqwdhxkhw/edit?usp=sharing"",""นครปฐม!J456"")"),0)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IFERROR(__xludf.DUMMYFUNCTION("IMPORTRANGE(""https://docs.google.com/spreadsheets/d/1SX6NBoVAgQJ6U1MVXOaj8PK2l7WJ3RER9xtqwdhxkhw/edit?usp=sharing"",""นครปฐม!I459"")"),100)</f>
        <v>100</v>
      </c>
      <c r="J564" s="371">
        <f ca="1">IFERROR(__xludf.DUMMYFUNCTION("IMPORTRANGE(""https://docs.google.com/spreadsheets/d/1SX6NBoVAgQJ6U1MVXOaj8PK2l7WJ3RER9xtqwdhxkhw/edit?usp=sharing"",""นครปฐม!J459"")"),164)</f>
        <v>164</v>
      </c>
      <c r="K564" s="372">
        <f ca="1">IF(I564&gt;0,J564*100/I564,0)</f>
        <v>164</v>
      </c>
      <c r="L564" s="373">
        <f ca="1">IFERROR(__xludf.DUMMYFUNCTION("IMPORTRANGE(""https://docs.google.com/spreadsheets/d/1SX6NBoVAgQJ6U1MVXOaj8PK2l7WJ3RER9xtqwdhxkhw/edit?usp=sharing"",""นครปฐม!L459"")"),116160)</f>
        <v>116160</v>
      </c>
      <c r="M564" s="373"/>
      <c r="N564" s="373">
        <f ca="1">IFERROR(__xludf.DUMMYFUNCTION("IMPORTRANGE(""https://docs.google.com/spreadsheets/d/1SX6NBoVAgQJ6U1MVXOaj8PK2l7WJ3RER9xtqwdhxkhw/edit?usp=sharing"",""นครปฐม!M459"")"),85653.36)</f>
        <v>85653.36</v>
      </c>
      <c r="O564" s="373">
        <f t="shared" ref="O564:O568" ca="1" si="122">+IF(L564&gt;0,N564*100/L564,0)</f>
        <v>73.73739669421488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IFERROR(__xludf.DUMMYFUNCTION("IMPORTRANGE(""https://docs.google.com/spreadsheets/d/1SX6NBoVAgQJ6U1MVXOaj8PK2l7WJ3RER9xtqwdhxkhw/edit?usp=sharing"",""นครปฐม!L460"")"),0)</f>
        <v>0</v>
      </c>
      <c r="M565" s="164"/>
      <c r="N565" s="169">
        <f ca="1">IFERROR(__xludf.DUMMYFUNCTION("IMPORTRANGE(""https://docs.google.com/spreadsheets/d/1SX6NBoVAgQJ6U1MVXOaj8PK2l7WJ3RER9xtqwdhxkhw/edit?usp=sharing"",""นครปฐม!M460"")"),0)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IFERROR(__xludf.DUMMYFUNCTION("IMPORTRANGE(""https://docs.google.com/spreadsheets/d/1SX6NBoVAgQJ6U1MVXOaj8PK2l7WJ3RER9xtqwdhxkhw/edit?usp=sharing"",""นครปฐม!L461"")"),116160)</f>
        <v>116160</v>
      </c>
      <c r="M566" s="165"/>
      <c r="N566" s="169">
        <f ca="1">IFERROR(__xludf.DUMMYFUNCTION("IMPORTRANGE(""https://docs.google.com/spreadsheets/d/1SX6NBoVAgQJ6U1MVXOaj8PK2l7WJ3RER9xtqwdhxkhw/edit?usp=sharing"",""นครปฐม!M461"")"),85653.36)</f>
        <v>85653.36</v>
      </c>
      <c r="O566" s="169">
        <f t="shared" ca="1" si="122"/>
        <v>73.73739669421488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IFERROR(__xludf.DUMMYFUNCTION("IMPORTRANGE(""https://docs.google.com/spreadsheets/d/1SX6NBoVAgQJ6U1MVXOaj8PK2l7WJ3RER9xtqwdhxkhw/edit?usp=sharing"",""นครปฐม!L462"")"),0)</f>
        <v>0</v>
      </c>
      <c r="M567" s="169"/>
      <c r="N567" s="169">
        <f ca="1">IFERROR(__xludf.DUMMYFUNCTION("IMPORTRANGE(""https://docs.google.com/spreadsheets/d/1SX6NBoVAgQJ6U1MVXOaj8PK2l7WJ3RER9xtqwdhxkhw/edit?usp=sharing"",""นครปฐม!M462"")"),0)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IFERROR(__xludf.DUMMYFUNCTION("IMPORTRANGE(""https://docs.google.com/spreadsheets/d/1SX6NBoVAgQJ6U1MVXOaj8PK2l7WJ3RER9xtqwdhxkhw/edit?usp=sharing"",""นครปฐม!L463"")"),116160)</f>
        <v>116160</v>
      </c>
      <c r="M568" s="169"/>
      <c r="N568" s="169">
        <f ca="1">IFERROR(__xludf.DUMMYFUNCTION("IMPORTRANGE(""https://docs.google.com/spreadsheets/d/1SX6NBoVAgQJ6U1MVXOaj8PK2l7WJ3RER9xtqwdhxkhw/edit?usp=sharing"",""นครปฐม!M463"")"),85653.36)</f>
        <v>85653.36</v>
      </c>
      <c r="O568" s="169">
        <f t="shared" ca="1" si="122"/>
        <v>73.73739669421488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IFERROR(__xludf.DUMMYFUNCTION("IMPORTRANGE(""https://docs.google.com/spreadsheets/d/1SX6NBoVAgQJ6U1MVXOaj8PK2l7WJ3RER9xtqwdhxkhw/edit?usp=sharing"",""นครปฐม!M464"")"),0)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IFERROR(__xludf.DUMMYFUNCTION("IMPORTRANGE(""https://docs.google.com/spreadsheets/d/1SX6NBoVAgQJ6U1MVXOaj8PK2l7WJ3RER9xtqwdhxkhw/edit?usp=sharing"",""นครปฐม!M465"")"),0)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IFERROR(__xludf.DUMMYFUNCTION("IMPORTRANGE(""https://docs.google.com/spreadsheets/d/1SX6NBoVAgQJ6U1MVXOaj8PK2l7WJ3RER9xtqwdhxkhw/edit?usp=sharing"",""นครปฐม!M466"")"),75533.36)</f>
        <v>75533.36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IFERROR(__xludf.DUMMYFUNCTION("IMPORTRANGE(""https://docs.google.com/spreadsheets/d/1SX6NBoVAgQJ6U1MVXOaj8PK2l7WJ3RER9xtqwdhxkhw/edit?usp=sharing"",""นครปฐม!M467"")"),10120)</f>
        <v>10120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IFERROR(__xludf.DUMMYFUNCTION("IMPORTRANGE(""https://docs.google.com/spreadsheets/d/1SX6NBoVAgQJ6U1MVXOaj8PK2l7WJ3RER9xtqwdhxkhw/edit?usp=sharing"",""นครปฐม!I468"")"),100)</f>
        <v>100</v>
      </c>
      <c r="J573" s="420">
        <f ca="1">IFERROR(__xludf.DUMMYFUNCTION("IMPORTRANGE(""https://docs.google.com/spreadsheets/d/1SX6NBoVAgQJ6U1MVXOaj8PK2l7WJ3RER9xtqwdhxkhw/edit?usp=sharing"",""นครปฐม!J468"")"),164)</f>
        <v>164</v>
      </c>
      <c r="K573" s="202">
        <f ca="1">IF(I573&gt;0,J573*100/I573,0)</f>
        <v>164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IFERROR(__xludf.DUMMYFUNCTION("IMPORTRANGE(""https://docs.google.com/spreadsheets/d/1SX6NBoVAgQJ6U1MVXOaj8PK2l7WJ3RER9xtqwdhxkhw/edit?usp=sharing"",""นครปฐม!I470"")"),0)</f>
        <v>0</v>
      </c>
      <c r="J575" s="198">
        <f ca="1">IFERROR(__xludf.DUMMYFUNCTION("IMPORTRANGE(""https://docs.google.com/spreadsheets/d/1SX6NBoVAgQJ6U1MVXOaj8PK2l7WJ3RER9xtqwdhxkhw/edit?usp=sharing"",""นครปฐม!J470"")"),2)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IFERROR(__xludf.DUMMYFUNCTION("IMPORTRANGE(""https://docs.google.com/spreadsheets/d/1SX6NBoVAgQJ6U1MVXOaj8PK2l7WJ3RER9xtqwdhxkhw/edit?usp=sharing"",""นครปฐม!I471"")"),0)</f>
        <v>0</v>
      </c>
      <c r="J576" s="198">
        <f ca="1">IFERROR(__xludf.DUMMYFUNCTION("IMPORTRANGE(""https://docs.google.com/spreadsheets/d/1SX6NBoVAgQJ6U1MVXOaj8PK2l7WJ3RER9xtqwdhxkhw/edit?usp=sharing"",""นครปฐม!J471"")"),26)</f>
        <v>26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IFERROR(__xludf.DUMMYFUNCTION("IMPORTRANGE(""https://docs.google.com/spreadsheets/d/1SX6NBoVAgQJ6U1MVXOaj8PK2l7WJ3RER9xtqwdhxkhw/edit?usp=sharing"",""นครปฐม!I472"")"),0)</f>
        <v>0</v>
      </c>
      <c r="J577" s="189">
        <f ca="1">IFERROR(__xludf.DUMMYFUNCTION("IMPORTRANGE(""https://docs.google.com/spreadsheets/d/1SX6NBoVAgQJ6U1MVXOaj8PK2l7WJ3RER9xtqwdhxkhw/edit?usp=sharing"",""นครปฐม!J472"")"),129)</f>
        <v>129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IFERROR(__xludf.DUMMYFUNCTION("IMPORTRANGE(""https://docs.google.com/spreadsheets/d/1SX6NBoVAgQJ6U1MVXOaj8PK2l7WJ3RER9xtqwdhxkhw/edit?usp=sharing"",""นครปฐม!I473"")"),0)</f>
        <v>0</v>
      </c>
      <c r="J578" s="198">
        <f ca="1">IFERROR(__xludf.DUMMYFUNCTION("IMPORTRANGE(""https://docs.google.com/spreadsheets/d/1SX6NBoVAgQJ6U1MVXOaj8PK2l7WJ3RER9xtqwdhxkhw/edit?usp=sharing"",""นครปฐม!J473"")"),8)</f>
        <v>8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IFERROR(__xludf.DUMMYFUNCTION("IMPORTRANGE(""https://docs.google.com/spreadsheets/d/1SX6NBoVAgQJ6U1MVXOaj8PK2l7WJ3RER9xtqwdhxkhw/edit?usp=sharing"",""นครปฐม!I474"")"),0)</f>
        <v>0</v>
      </c>
      <c r="J579" s="198">
        <f ca="1">IFERROR(__xludf.DUMMYFUNCTION("IMPORTRANGE(""https://docs.google.com/spreadsheets/d/1SX6NBoVAgQJ6U1MVXOaj8PK2l7WJ3RER9xtqwdhxkhw/edit?usp=sharing"",""นครปฐม!J474"")"),1)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IFERROR(__xludf.DUMMYFUNCTION("IMPORTRANGE(""https://docs.google.com/spreadsheets/d/1SX6NBoVAgQJ6U1MVXOaj8PK2l7WJ3RER9xtqwdhxkhw/edit?usp=sharing"",""นครปฐม!I475"")"),0)</f>
        <v>0</v>
      </c>
      <c r="J580" s="371">
        <f ca="1">IFERROR(__xludf.DUMMYFUNCTION("IMPORTRANGE(""https://docs.google.com/spreadsheets/d/1SX6NBoVAgQJ6U1MVXOaj8PK2l7WJ3RER9xtqwdhxkhw/edit?usp=sharing"",""นครปฐม!J475"")"),0)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IFERROR(__xludf.DUMMYFUNCTION("IMPORTRANGE(""https://docs.google.com/spreadsheets/d/1SX6NBoVAgQJ6U1MVXOaj8PK2l7WJ3RER9xtqwdhxkhw/edit?usp=sharing"",""นครปฐม!L475"")"),0)</f>
        <v>0</v>
      </c>
      <c r="M580" s="373"/>
      <c r="N580" s="373">
        <f ca="1">IFERROR(__xludf.DUMMYFUNCTION("IMPORTRANGE(""https://docs.google.com/spreadsheets/d/1SX6NBoVAgQJ6U1MVXOaj8PK2l7WJ3RER9xtqwdhxkhw/edit?usp=sharing"",""นครปฐม!M475"")"),0)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IFERROR(__xludf.DUMMYFUNCTION("IMPORTRANGE(""https://docs.google.com/spreadsheets/d/1SX6NBoVAgQJ6U1MVXOaj8PK2l7WJ3RER9xtqwdhxkhw/edit?usp=sharing"",""นครปฐม!L476"")"),0)</f>
        <v>0</v>
      </c>
      <c r="M581" s="164"/>
      <c r="N581" s="169">
        <f ca="1">IFERROR(__xludf.DUMMYFUNCTION("IMPORTRANGE(""https://docs.google.com/spreadsheets/d/1SX6NBoVAgQJ6U1MVXOaj8PK2l7WJ3RER9xtqwdhxkhw/edit?usp=sharing"",""นครปฐม!M476"")"),0)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IFERROR(__xludf.DUMMYFUNCTION("IMPORTRANGE(""https://docs.google.com/spreadsheets/d/1SX6NBoVAgQJ6U1MVXOaj8PK2l7WJ3RER9xtqwdhxkhw/edit?usp=sharing"",""นครปฐม!L477"")"),0)</f>
        <v>0</v>
      </c>
      <c r="M582" s="165"/>
      <c r="N582" s="169">
        <f ca="1">IFERROR(__xludf.DUMMYFUNCTION("IMPORTRANGE(""https://docs.google.com/spreadsheets/d/1SX6NBoVAgQJ6U1MVXOaj8PK2l7WJ3RER9xtqwdhxkhw/edit?usp=sharing"",""นครปฐม!M477"")"),0)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IFERROR(__xludf.DUMMYFUNCTION("IMPORTRANGE(""https://docs.google.com/spreadsheets/d/1SX6NBoVAgQJ6U1MVXOaj8PK2l7WJ3RER9xtqwdhxkhw/edit?usp=sharing"",""นครปฐม!L478"")"),0)</f>
        <v>0</v>
      </c>
      <c r="M583" s="169"/>
      <c r="N583" s="169">
        <f ca="1">IFERROR(__xludf.DUMMYFUNCTION("IMPORTRANGE(""https://docs.google.com/spreadsheets/d/1SX6NBoVAgQJ6U1MVXOaj8PK2l7WJ3RER9xtqwdhxkhw/edit?usp=sharing"",""นครปฐม!M478"")"),0)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IFERROR(__xludf.DUMMYFUNCTION("IMPORTRANGE(""https://docs.google.com/spreadsheets/d/1SX6NBoVAgQJ6U1MVXOaj8PK2l7WJ3RER9xtqwdhxkhw/edit?usp=sharing"",""นครปฐม!L479"")"),0)</f>
        <v>0</v>
      </c>
      <c r="M584" s="169"/>
      <c r="N584" s="169">
        <f ca="1">IFERROR(__xludf.DUMMYFUNCTION("IMPORTRANGE(""https://docs.google.com/spreadsheets/d/1SX6NBoVAgQJ6U1MVXOaj8PK2l7WJ3RER9xtqwdhxkhw/edit?usp=sharing"",""นครปฐม!M479"")"),0)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IFERROR(__xludf.DUMMYFUNCTION("IMPORTRANGE(""https://docs.google.com/spreadsheets/d/1SX6NBoVAgQJ6U1MVXOaj8PK2l7WJ3RER9xtqwdhxkhw/edit?usp=sharing"",""นครปฐม!M480"")"),0)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IFERROR(__xludf.DUMMYFUNCTION("IMPORTRANGE(""https://docs.google.com/spreadsheets/d/1SX6NBoVAgQJ6U1MVXOaj8PK2l7WJ3RER9xtqwdhxkhw/edit?usp=sharing"",""นครปฐม!M481"")"),0)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IFERROR(__xludf.DUMMYFUNCTION("IMPORTRANGE(""https://docs.google.com/spreadsheets/d/1SX6NBoVAgQJ6U1MVXOaj8PK2l7WJ3RER9xtqwdhxkhw/edit?usp=sharing"",""นครปฐม!M482"")"),0)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IFERROR(__xludf.DUMMYFUNCTION("IMPORTRANGE(""https://docs.google.com/spreadsheets/d/1SX6NBoVAgQJ6U1MVXOaj8PK2l7WJ3RER9xtqwdhxkhw/edit?usp=sharing"",""นครปฐม!M483"")"),0)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IFERROR(__xludf.DUMMYFUNCTION("IMPORTRANGE(""https://docs.google.com/spreadsheets/d/1SX6NBoVAgQJ6U1MVXOaj8PK2l7WJ3RER9xtqwdhxkhw/edit?usp=sharing"",""นครปฐม!I484"")"),0)</f>
        <v>0</v>
      </c>
      <c r="J589" s="188">
        <f ca="1">IFERROR(__xludf.DUMMYFUNCTION("IMPORTRANGE(""https://docs.google.com/spreadsheets/d/1SX6NBoVAgQJ6U1MVXOaj8PK2l7WJ3RER9xtqwdhxkhw/edit?usp=sharing"",""นครปฐม!J484"")"),0)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IFERROR(__xludf.DUMMYFUNCTION("IMPORTRANGE(""https://docs.google.com/spreadsheets/d/1SX6NBoVAgQJ6U1MVXOaj8PK2l7WJ3RER9xtqwdhxkhw/edit?usp=sharing"",""นครปฐม!I485"")"),0)</f>
        <v>0</v>
      </c>
      <c r="J590" s="188">
        <f ca="1">IFERROR(__xludf.DUMMYFUNCTION("IMPORTRANGE(""https://docs.google.com/spreadsheets/d/1SX6NBoVAgQJ6U1MVXOaj8PK2l7WJ3RER9xtqwdhxkhw/edit?usp=sharing"",""นครปฐม!J485"")"),0)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IFERROR(__xludf.DUMMYFUNCTION("IMPORTRANGE(""https://docs.google.com/spreadsheets/d/1SX6NBoVAgQJ6U1MVXOaj8PK2l7WJ3RER9xtqwdhxkhw/edit?usp=sharing"",""นครปฐม!I486"")"),0)</f>
        <v>0</v>
      </c>
      <c r="J591" s="188">
        <f ca="1">IFERROR(__xludf.DUMMYFUNCTION("IMPORTRANGE(""https://docs.google.com/spreadsheets/d/1SX6NBoVAgQJ6U1MVXOaj8PK2l7WJ3RER9xtqwdhxkhw/edit?usp=sharing"",""นครปฐม!J486"")"),0)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IFERROR(__xludf.DUMMYFUNCTION("IMPORTRANGE(""https://docs.google.com/spreadsheets/d/1SX6NBoVAgQJ6U1MVXOaj8PK2l7WJ3RER9xtqwdhxkhw/edit?usp=sharing"",""นครปฐม!I487"")"),0)</f>
        <v>0</v>
      </c>
      <c r="J592" s="188">
        <f ca="1">IFERROR(__xludf.DUMMYFUNCTION("IMPORTRANGE(""https://docs.google.com/spreadsheets/d/1SX6NBoVAgQJ6U1MVXOaj8PK2l7WJ3RER9xtqwdhxkhw/edit?usp=sharing"",""นครปฐม!J487"")"),0)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IFERROR(__xludf.DUMMYFUNCTION("IMPORTRANGE(""https://docs.google.com/spreadsheets/d/1SX6NBoVAgQJ6U1MVXOaj8PK2l7WJ3RER9xtqwdhxkhw/edit?usp=sharing"",""นครปฐม!I488"")"),0)</f>
        <v>0</v>
      </c>
      <c r="J593" s="188">
        <f ca="1">IFERROR(__xludf.DUMMYFUNCTION("IMPORTRANGE(""https://docs.google.com/spreadsheets/d/1SX6NBoVAgQJ6U1MVXOaj8PK2l7WJ3RER9xtqwdhxkhw/edit?usp=sharing"",""นครปฐม!J488"")"),0)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IFERROR(__xludf.DUMMYFUNCTION("IMPORTRANGE(""https://docs.google.com/spreadsheets/d/1SX6NBoVAgQJ6U1MVXOaj8PK2l7WJ3RER9xtqwdhxkhw/edit?usp=sharing"",""นครปฐม!I489"")"),0)</f>
        <v>0</v>
      </c>
      <c r="J594" s="188">
        <f ca="1">IFERROR(__xludf.DUMMYFUNCTION("IMPORTRANGE(""https://docs.google.com/spreadsheets/d/1SX6NBoVAgQJ6U1MVXOaj8PK2l7WJ3RER9xtqwdhxkhw/edit?usp=sharing"",""นครปฐม!J489"")"),0)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IFERROR(__xludf.DUMMYFUNCTION("IMPORTRANGE(""https://docs.google.com/spreadsheets/d/1SX6NBoVAgQJ6U1MVXOaj8PK2l7WJ3RER9xtqwdhxkhw/edit?usp=sharing"",""นครปฐม!I490"")"),0)</f>
        <v>0</v>
      </c>
      <c r="J595" s="188">
        <f ca="1">IFERROR(__xludf.DUMMYFUNCTION("IMPORTRANGE(""https://docs.google.com/spreadsheets/d/1SX6NBoVAgQJ6U1MVXOaj8PK2l7WJ3RER9xtqwdhxkhw/edit?usp=sharing"",""นครปฐม!J490"")"),0)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IFERROR(__xludf.DUMMYFUNCTION("IMPORTRANGE(""https://docs.google.com/spreadsheets/d/1SX6NBoVAgQJ6U1MVXOaj8PK2l7WJ3RER9xtqwdhxkhw/edit?usp=sharing"",""นครปฐม!I491"")"),0)</f>
        <v>0</v>
      </c>
      <c r="J596" s="242">
        <f ca="1">IFERROR(__xludf.DUMMYFUNCTION("IMPORTRANGE(""https://docs.google.com/spreadsheets/d/1SX6NBoVAgQJ6U1MVXOaj8PK2l7WJ3RER9xtqwdhxkhw/edit?usp=sharing"",""นครปฐม!J491"")"),0)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IFERROR(__xludf.DUMMYFUNCTION("IMPORTRANGE(""https://docs.google.com/spreadsheets/d/1SX6NBoVAgQJ6U1MVXOaj8PK2l7WJ3RER9xtqwdhxkhw/edit?usp=sharing"",""นครปฐม!I492"")"),50)</f>
        <v>50</v>
      </c>
      <c r="J597" s="488">
        <f ca="1">IFERROR(__xludf.DUMMYFUNCTION("IMPORTRANGE(""https://docs.google.com/spreadsheets/d/1SX6NBoVAgQJ6U1MVXOaj8PK2l7WJ3RER9xtqwdhxkhw/edit?usp=sharing"",""นครปฐม!J492"")"),0)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IFERROR(__xludf.DUMMYFUNCTION("IMPORTRANGE(""https://docs.google.com/spreadsheets/d/1SX6NBoVAgQJ6U1MVXOaj8PK2l7WJ3RER9xtqwdhxkhw/edit?usp=sharing"",""นครปฐม!L492"")"),4550)</f>
        <v>4550</v>
      </c>
      <c r="M597" s="412"/>
      <c r="N597" s="412">
        <f ca="1">IFERROR(__xludf.DUMMYFUNCTION("IMPORTRANGE(""https://docs.google.com/spreadsheets/d/1SX6NBoVAgQJ6U1MVXOaj8PK2l7WJ3RER9xtqwdhxkhw/edit?usp=sharing"",""นครปฐม!M492"")"),400)</f>
        <v>400</v>
      </c>
      <c r="O597" s="412">
        <f t="shared" ref="O597:O601" ca="1" si="126">+IF(L597&gt;0,N597*100/L597,0)</f>
        <v>8.791208791208792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IFERROR(__xludf.DUMMYFUNCTION("IMPORTRANGE(""https://docs.google.com/spreadsheets/d/1SX6NBoVAgQJ6U1MVXOaj8PK2l7WJ3RER9xtqwdhxkhw/edit?usp=sharing"",""นครปฐม!L493"")"),0)</f>
        <v>0</v>
      </c>
      <c r="M598" s="164"/>
      <c r="N598" s="169">
        <f ca="1">IFERROR(__xludf.DUMMYFUNCTION("IMPORTRANGE(""https://docs.google.com/spreadsheets/d/1SX6NBoVAgQJ6U1MVXOaj8PK2l7WJ3RER9xtqwdhxkhw/edit?usp=sharing"",""นครปฐม!M493"")"),0)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IFERROR(__xludf.DUMMYFUNCTION("IMPORTRANGE(""https://docs.google.com/spreadsheets/d/1SX6NBoVAgQJ6U1MVXOaj8PK2l7WJ3RER9xtqwdhxkhw/edit?usp=sharing"",""นครปฐม!L494"")"),4550)</f>
        <v>4550</v>
      </c>
      <c r="M599" s="165"/>
      <c r="N599" s="169">
        <f ca="1">IFERROR(__xludf.DUMMYFUNCTION("IMPORTRANGE(""https://docs.google.com/spreadsheets/d/1SX6NBoVAgQJ6U1MVXOaj8PK2l7WJ3RER9xtqwdhxkhw/edit?usp=sharing"",""นครปฐม!M494"")"),400)</f>
        <v>400</v>
      </c>
      <c r="O599" s="169">
        <f t="shared" ca="1" si="126"/>
        <v>8.791208791208792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IFERROR(__xludf.DUMMYFUNCTION("IMPORTRANGE(""https://docs.google.com/spreadsheets/d/1SX6NBoVAgQJ6U1MVXOaj8PK2l7WJ3RER9xtqwdhxkhw/edit?usp=sharing"",""นครปฐม!L495"")"),0)</f>
        <v>0</v>
      </c>
      <c r="M600" s="169"/>
      <c r="N600" s="169">
        <f ca="1">IFERROR(__xludf.DUMMYFUNCTION("IMPORTRANGE(""https://docs.google.com/spreadsheets/d/1SX6NBoVAgQJ6U1MVXOaj8PK2l7WJ3RER9xtqwdhxkhw/edit?usp=sharing"",""นครปฐม!M495"")"),0)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IFERROR(__xludf.DUMMYFUNCTION("IMPORTRANGE(""https://docs.google.com/spreadsheets/d/1SX6NBoVAgQJ6U1MVXOaj8PK2l7WJ3RER9xtqwdhxkhw/edit?usp=sharing"",""นครปฐม!L496"")"),4550)</f>
        <v>4550</v>
      </c>
      <c r="M601" s="169"/>
      <c r="N601" s="169">
        <f ca="1">IFERROR(__xludf.DUMMYFUNCTION("IMPORTRANGE(""https://docs.google.com/spreadsheets/d/1SX6NBoVAgQJ6U1MVXOaj8PK2l7WJ3RER9xtqwdhxkhw/edit?usp=sharing"",""นครปฐม!M496"")"),400)</f>
        <v>400</v>
      </c>
      <c r="O601" s="169">
        <f t="shared" ca="1" si="126"/>
        <v>8.791208791208792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IFERROR(__xludf.DUMMYFUNCTION("IMPORTRANGE(""https://docs.google.com/spreadsheets/d/1SX6NBoVAgQJ6U1MVXOaj8PK2l7WJ3RER9xtqwdhxkhw/edit?usp=sharing"",""นครปฐม!M497"")"),0)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IFERROR(__xludf.DUMMYFUNCTION("IMPORTRANGE(""https://docs.google.com/spreadsheets/d/1SX6NBoVAgQJ6U1MVXOaj8PK2l7WJ3RER9xtqwdhxkhw/edit?usp=sharing"",""นครปฐม!M498"")"),0)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IFERROR(__xludf.DUMMYFUNCTION("IMPORTRANGE(""https://docs.google.com/spreadsheets/d/1SX6NBoVAgQJ6U1MVXOaj8PK2l7WJ3RER9xtqwdhxkhw/edit?usp=sharing"",""นครปฐม!M499"")"),400)</f>
        <v>400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IFERROR(__xludf.DUMMYFUNCTION("IMPORTRANGE(""https://docs.google.com/spreadsheets/d/1SX6NBoVAgQJ6U1MVXOaj8PK2l7WJ3RER9xtqwdhxkhw/edit?usp=sharing"",""นครปฐม!M500"")"),0)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IFERROR(__xludf.DUMMYFUNCTION("IMPORTRANGE(""https://docs.google.com/spreadsheets/d/1SX6NBoVAgQJ6U1MVXOaj8PK2l7WJ3RER9xtqwdhxkhw/edit?usp=sharing"",""นครปฐม!J502"")"),0)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IFERROR(__xludf.DUMMYFUNCTION("IMPORTRANGE(""https://docs.google.com/spreadsheets/d/1SX6NBoVAgQJ6U1MVXOaj8PK2l7WJ3RER9xtqwdhxkhw/edit?usp=sharing"",""นครปฐม!J503"")"),1)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IFERROR(__xludf.DUMMYFUNCTION("IMPORTRANGE(""https://docs.google.com/spreadsheets/d/1SX6NBoVAgQJ6U1MVXOaj8PK2l7WJ3RER9xtqwdhxkhw/edit?usp=sharing"",""นครปฐม!J166"")"),0)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IFERROR(__xludf.DUMMYFUNCTION("IMPORTRANGE(""https://docs.google.com/spreadsheets/d/1SX6NBoVAgQJ6U1MVXOaj8PK2l7WJ3RER9xtqwdhxkhw/edit?usp=sharing"",""นครปฐม!J166"")"),0)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IFERROR(__xludf.DUMMYFUNCTION("IMPORTRANGE(""https://docs.google.com/spreadsheets/d/1SX6NBoVAgQJ6U1MVXOaj8PK2l7WJ3RER9xtqwdhxkhw/edit?usp=sharing"",""นครปฐม!I506"")"),50)</f>
        <v>50</v>
      </c>
      <c r="J611" s="162">
        <f ca="1">IFERROR(__xludf.DUMMYFUNCTION("IMPORTRANGE(""https://docs.google.com/spreadsheets/d/1SX6NBoVAgQJ6U1MVXOaj8PK2l7WJ3RER9xtqwdhxkhw/edit?usp=sharing"",""นครปฐม!J506"")"),0)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IFERROR(__xludf.DUMMYFUNCTION("IMPORTRANGE(""https://docs.google.com/spreadsheets/d/1SX6NBoVAgQJ6U1MVXOaj8PK2l7WJ3RER9xtqwdhxkhw/edit?usp=sharing"",""นครปฐม!I507"")"),0)</f>
        <v>0</v>
      </c>
      <c r="J612" s="198">
        <f ca="1">IFERROR(__xludf.DUMMYFUNCTION("IMPORTRANGE(""https://docs.google.com/spreadsheets/d/1SX6NBoVAgQJ6U1MVXOaj8PK2l7WJ3RER9xtqwdhxkhw/edit?usp=sharing"",""นครปฐม!J507"")"),0)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IFERROR(__xludf.DUMMYFUNCTION("IMPORTRANGE(""https://docs.google.com/spreadsheets/d/1SX6NBoVAgQJ6U1MVXOaj8PK2l7WJ3RER9xtqwdhxkhw/edit?usp=sharing"",""นครปฐม!I508"")"),0)</f>
        <v>0</v>
      </c>
      <c r="J613" s="198">
        <f ca="1">IFERROR(__xludf.DUMMYFUNCTION("IMPORTRANGE(""https://docs.google.com/spreadsheets/d/1SX6NBoVAgQJ6U1MVXOaj8PK2l7WJ3RER9xtqwdhxkhw/edit?usp=sharing"",""นครปฐม!J508"")"),0)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IFERROR(__xludf.DUMMYFUNCTION("IMPORTRANGE(""https://docs.google.com/spreadsheets/d/1SX6NBoVAgQJ6U1MVXOaj8PK2l7WJ3RER9xtqwdhxkhw/edit?usp=sharing"",""นครปฐม!I509"")"),0)</f>
        <v>0</v>
      </c>
      <c r="J614" s="198">
        <f ca="1">IFERROR(__xludf.DUMMYFUNCTION("IMPORTRANGE(""https://docs.google.com/spreadsheets/d/1SX6NBoVAgQJ6U1MVXOaj8PK2l7WJ3RER9xtqwdhxkhw/edit?usp=sharing"",""นครปฐม!J509"")"),0)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IFERROR(__xludf.DUMMYFUNCTION("IMPORTRANGE(""https://docs.google.com/spreadsheets/d/1SX6NBoVAgQJ6U1MVXOaj8PK2l7WJ3RER9xtqwdhxkhw/edit?usp=sharing"",""นครปฐม!I510"")"),0)</f>
        <v>0</v>
      </c>
      <c r="J615" s="198">
        <f ca="1">IFERROR(__xludf.DUMMYFUNCTION("IMPORTRANGE(""https://docs.google.com/spreadsheets/d/1SX6NBoVAgQJ6U1MVXOaj8PK2l7WJ3RER9xtqwdhxkhw/edit?usp=sharing"",""นครปฐม!J510"")"),0)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IFERROR(__xludf.DUMMYFUNCTION("IMPORTRANGE(""https://docs.google.com/spreadsheets/d/1SX6NBoVAgQJ6U1MVXOaj8PK2l7WJ3RER9xtqwdhxkhw/edit?usp=sharing"",""นครปฐม!I511"")"),0)</f>
        <v>0</v>
      </c>
      <c r="J616" s="198">
        <f ca="1">IFERROR(__xludf.DUMMYFUNCTION("IMPORTRANGE(""https://docs.google.com/spreadsheets/d/1SX6NBoVAgQJ6U1MVXOaj8PK2l7WJ3RER9xtqwdhxkhw/edit?usp=sharing"",""นครปฐม!J511"")"),0)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IFERROR(__xludf.DUMMYFUNCTION("IMPORTRANGE(""https://docs.google.com/spreadsheets/d/1SX6NBoVAgQJ6U1MVXOaj8PK2l7WJ3RER9xtqwdhxkhw/edit?usp=sharing"",""นครปฐม!I512"")"),0)</f>
        <v>0</v>
      </c>
      <c r="J617" s="188">
        <f ca="1">IFERROR(__xludf.DUMMYFUNCTION("IMPORTRANGE(""https://docs.google.com/spreadsheets/d/1SX6NBoVAgQJ6U1MVXOaj8PK2l7WJ3RER9xtqwdhxkhw/edit?usp=sharing"",""นครปฐม!J512"")"),0)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IFERROR(__xludf.DUMMYFUNCTION("IMPORTRANGE(""https://docs.google.com/spreadsheets/d/1SX6NBoVAgQJ6U1MVXOaj8PK2l7WJ3RER9xtqwdhxkhw/edit?usp=sharing"",""นครปฐม!I513"")"),0)</f>
        <v>0</v>
      </c>
      <c r="J618" s="189">
        <f ca="1">IFERROR(__xludf.DUMMYFUNCTION("IMPORTRANGE(""https://docs.google.com/spreadsheets/d/1SX6NBoVAgQJ6U1MVXOaj8PK2l7WJ3RER9xtqwdhxkhw/edit?usp=sharing"",""นครปฐม!J513"")"),0)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IFERROR(__xludf.DUMMYFUNCTION("IMPORTRANGE(""https://docs.google.com/spreadsheets/d/1SX6NBoVAgQJ6U1MVXOaj8PK2l7WJ3RER9xtqwdhxkhw/edit?usp=sharing"",""นครปฐม!I514"")"),0)</f>
        <v>0</v>
      </c>
      <c r="J619" s="189">
        <f ca="1">IFERROR(__xludf.DUMMYFUNCTION("IMPORTRANGE(""https://docs.google.com/spreadsheets/d/1SX6NBoVAgQJ6U1MVXOaj8PK2l7WJ3RER9xtqwdhxkhw/edit?usp=sharing"",""นครปฐม!J514"")"),0)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IFERROR(__xludf.DUMMYFUNCTION("IMPORTRANGE(""https://docs.google.com/spreadsheets/d/1SX6NBoVAgQJ6U1MVXOaj8PK2l7WJ3RER9xtqwdhxkhw/edit?usp=sharing"",""นครปฐม!I515"")"),0)</f>
        <v>0</v>
      </c>
      <c r="J620" s="203">
        <f ca="1">IFERROR(__xludf.DUMMYFUNCTION("IMPORTRANGE(""https://docs.google.com/spreadsheets/d/1SX6NBoVAgQJ6U1MVXOaj8PK2l7WJ3RER9xtqwdhxkhw/edit?usp=sharing"",""นครปฐม!J515"")"),0)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IFERROR(__xludf.DUMMYFUNCTION("IMPORTRANGE(""https://docs.google.com/spreadsheets/d/1SX6NBoVAgQJ6U1MVXOaj8PK2l7WJ3RER9xtqwdhxkhw/edit?usp=sharing"",""นครปฐม!I516"")"),0)</f>
        <v>0</v>
      </c>
      <c r="J621" s="203">
        <f ca="1">IFERROR(__xludf.DUMMYFUNCTION("IMPORTRANGE(""https://docs.google.com/spreadsheets/d/1SX6NBoVAgQJ6U1MVXOaj8PK2l7WJ3RER9xtqwdhxkhw/edit?usp=sharing"",""นครปฐม!J516"")"),0)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IFERROR(__xludf.DUMMYFUNCTION("IMPORTRANGE(""https://docs.google.com/spreadsheets/d/1SX6NBoVAgQJ6U1MVXOaj8PK2l7WJ3RER9xtqwdhxkhw/edit?usp=sharing"",""นครปฐม!I517"")"),0)</f>
        <v>0</v>
      </c>
      <c r="J622" s="189">
        <f ca="1">IFERROR(__xludf.DUMMYFUNCTION("IMPORTRANGE(""https://docs.google.com/spreadsheets/d/1SX6NBoVAgQJ6U1MVXOaj8PK2l7WJ3RER9xtqwdhxkhw/edit?usp=sharing"",""นครปฐม!J517"")"),0)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IFERROR(__xludf.DUMMYFUNCTION("IMPORTRANGE(""https://docs.google.com/spreadsheets/d/1SX6NBoVAgQJ6U1MVXOaj8PK2l7WJ3RER9xtqwdhxkhw/edit?usp=sharing"",""นครปฐม!I518"")"),0)</f>
        <v>0</v>
      </c>
      <c r="J623" s="189">
        <f ca="1">IFERROR(__xludf.DUMMYFUNCTION("IMPORTRANGE(""https://docs.google.com/spreadsheets/d/1SX6NBoVAgQJ6U1MVXOaj8PK2l7WJ3RER9xtqwdhxkhw/edit?usp=sharing"",""นครปฐม!J518"")"),0)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IFERROR(__xludf.DUMMYFUNCTION("IMPORTRANGE(""https://docs.google.com/spreadsheets/d/1SX6NBoVAgQJ6U1MVXOaj8PK2l7WJ3RER9xtqwdhxkhw/edit?usp=sharing"",""นครปฐม!I519"")"),0)</f>
        <v>0</v>
      </c>
      <c r="J624" s="188">
        <f ca="1">IFERROR(__xludf.DUMMYFUNCTION("IMPORTRANGE(""https://docs.google.com/spreadsheets/d/1SX6NBoVAgQJ6U1MVXOaj8PK2l7WJ3RER9xtqwdhxkhw/edit?usp=sharing"",""นครปฐม!J519"")"),0)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IFERROR(__xludf.DUMMYFUNCTION("IMPORTRANGE(""https://docs.google.com/spreadsheets/d/1SX6NBoVAgQJ6U1MVXOaj8PK2l7WJ3RER9xtqwdhxkhw/edit?usp=sharing"",""นครปฐม!I520"")"),0)</f>
        <v>0</v>
      </c>
      <c r="J625" s="189">
        <f ca="1">IFERROR(__xludf.DUMMYFUNCTION("IMPORTRANGE(""https://docs.google.com/spreadsheets/d/1SX6NBoVAgQJ6U1MVXOaj8PK2l7WJ3RER9xtqwdhxkhw/edit?usp=sharing"",""นครปฐม!J520"")"),0)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IFERROR(__xludf.DUMMYFUNCTION("IMPORTRANGE(""https://docs.google.com/spreadsheets/d/1SX6NBoVAgQJ6U1MVXOaj8PK2l7WJ3RER9xtqwdhxkhw/edit?usp=sharing"",""นครปฐม!I521"")"),0)</f>
        <v>0</v>
      </c>
      <c r="J626" s="189">
        <f ca="1">IFERROR(__xludf.DUMMYFUNCTION("IMPORTRANGE(""https://docs.google.com/spreadsheets/d/1SX6NBoVAgQJ6U1MVXOaj8PK2l7WJ3RER9xtqwdhxkhw/edit?usp=sharing"",""นครปฐม!J521"")"),0)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IFERROR(__xludf.DUMMYFUNCTION("IMPORTRANGE(""https://docs.google.com/spreadsheets/d/1SX6NBoVAgQJ6U1MVXOaj8PK2l7WJ3RER9xtqwdhxkhw/edit?usp=sharing"",""นครปฐม!I523"")"),3160000)</f>
        <v>3160000</v>
      </c>
      <c r="J628" s="342">
        <f ca="1">IFERROR(__xludf.DUMMYFUNCTION("IMPORTRANGE(""https://docs.google.com/spreadsheets/d/1SX6NBoVAgQJ6U1MVXOaj8PK2l7WJ3RER9xtqwdhxkhw/edit?usp=sharing"",""นครปฐม!J523"")"),2339326.36)</f>
        <v>2339326.36</v>
      </c>
      <c r="K628" s="343">
        <f t="shared" ref="K628:K635" ca="1" si="129">IF(I628&gt;0,J628*100/I628,0)</f>
        <v>74.029315189873415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IFERROR(__xludf.DUMMYFUNCTION("IMPORTRANGE(""https://docs.google.com/spreadsheets/d/1SX6NBoVAgQJ6U1MVXOaj8PK2l7WJ3RER9xtqwdhxkhw/edit?usp=sharing"",""นครปฐม!I524"")"),70)</f>
        <v>70</v>
      </c>
      <c r="J629" s="342">
        <f ca="1">IFERROR(__xludf.DUMMYFUNCTION("IMPORTRANGE(""https://docs.google.com/spreadsheets/d/1SX6NBoVAgQJ6U1MVXOaj8PK2l7WJ3RER9xtqwdhxkhw/edit?usp=sharing"",""นครปฐม!J524"")"),53)</f>
        <v>53</v>
      </c>
      <c r="K629" s="343">
        <f t="shared" ca="1" si="129"/>
        <v>75.714285714285708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2">
        <f ca="1">IFERROR(__xludf.DUMMYFUNCTION("IMPORTRANGE(""https://docs.google.com/spreadsheets/d/1SX6NBoVAgQJ6U1MVXOaj8PK2l7WJ3RER9xtqwdhxkhw/edit?usp=sharing"",""นครปฐม!J525"")"),628836.66)</f>
        <v>628836.66</v>
      </c>
      <c r="K630" s="343">
        <f t="shared" ca="1" si="129"/>
        <v>49.322673982060302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IFERROR(__xludf.DUMMYFUNCTION("IMPORTRANGE(""https://docs.google.com/spreadsheets/d/1SX6NBoVAgQJ6U1MVXOaj8PK2l7WJ3RER9xtqwdhxkhw/edit?usp=sharing"",""นครปฐม!I526"")"),31)</f>
        <v>31</v>
      </c>
      <c r="J631" s="342">
        <f ca="1">IFERROR(__xludf.DUMMYFUNCTION("IMPORTRANGE(""https://docs.google.com/spreadsheets/d/1SX6NBoVAgQJ6U1MVXOaj8PK2l7WJ3RER9xtqwdhxkhw/edit?usp=sharing"",""นครปฐม!J526"")"),31)</f>
        <v>31</v>
      </c>
      <c r="K631" s="343">
        <f t="shared" ca="1" si="129"/>
        <v>100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IFERROR(__xludf.DUMMYFUNCTION("IMPORTRANGE(""https://docs.google.com/spreadsheets/d/1SX6NBoVAgQJ6U1MVXOaj8PK2l7WJ3RER9xtqwdhxkhw/edit?usp=sharing"",""นครปฐม!I527"")"),527836.61)</f>
        <v>527836.61</v>
      </c>
      <c r="J632" s="342">
        <f ca="1">IFERROR(__xludf.DUMMYFUNCTION("IMPORTRANGE(""https://docs.google.com/spreadsheets/d/1SX6NBoVAgQJ6U1MVXOaj8PK2l7WJ3RER9xtqwdhxkhw/edit?usp=sharing"",""นครปฐม!J527"")"),418219.17)</f>
        <v>418219.17</v>
      </c>
      <c r="K632" s="343">
        <f t="shared" ca="1" si="129"/>
        <v>79.232694753779967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IFERROR(__xludf.DUMMYFUNCTION("IMPORTRANGE(""https://docs.google.com/spreadsheets/d/1SX6NBoVAgQJ6U1MVXOaj8PK2l7WJ3RER9xtqwdhxkhw/edit?usp=sharing"",""นครปฐม!I528"")"),262)</f>
        <v>262</v>
      </c>
      <c r="J633" s="342">
        <f ca="1">IFERROR(__xludf.DUMMYFUNCTION("IMPORTRANGE(""https://docs.google.com/spreadsheets/d/1SX6NBoVAgQJ6U1MVXOaj8PK2l7WJ3RER9xtqwdhxkhw/edit?usp=sharing"",""นครปฐม!J528"")"),218)</f>
        <v>218</v>
      </c>
      <c r="K633" s="343">
        <f t="shared" ca="1" si="129"/>
        <v>83.206106870229007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IFERROR(__xludf.DUMMYFUNCTION("IMPORTRANGE(""https://docs.google.com/spreadsheets/d/1SX6NBoVAgQJ6U1MVXOaj8PK2l7WJ3RER9xtqwdhxkhw/edit?usp=sharing"",""นครปฐม!I529"")"),4410000)</f>
        <v>4410000</v>
      </c>
      <c r="J634" s="342">
        <f ca="1">IFERROR(__xludf.DUMMYFUNCTION("IMPORTRANGE(""https://docs.google.com/spreadsheets/d/1SX6NBoVAgQJ6U1MVXOaj8PK2l7WJ3RER9xtqwdhxkhw/edit?usp=sharing"",""นครปฐม!J529"")"),2260000)</f>
        <v>2260000</v>
      </c>
      <c r="K634" s="343">
        <f t="shared" ca="1" si="129"/>
        <v>51.247165532879819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IFERROR(__xludf.DUMMYFUNCTION("IMPORTRANGE(""https://docs.google.com/spreadsheets/d/1SX6NBoVAgQJ6U1MVXOaj8PK2l7WJ3RER9xtqwdhxkhw/edit?usp=sharing"",""นครปฐม!I530"")"),94)</f>
        <v>94</v>
      </c>
      <c r="J635" s="505">
        <f ca="1">IFERROR(__xludf.DUMMYFUNCTION("IMPORTRANGE(""https://docs.google.com/spreadsheets/d/1SX6NBoVAgQJ6U1MVXOaj8PK2l7WJ3RER9xtqwdhxkhw/edit?usp=sharing"",""นครปฐม!J530"")"),47)</f>
        <v>47</v>
      </c>
      <c r="K635" s="487">
        <f t="shared" ca="1" si="129"/>
        <v>50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2"/>
      <c r="H636" s="508"/>
      <c r="I636" s="509"/>
      <c r="J636" s="509"/>
      <c r="K636" s="510"/>
      <c r="L636" s="511">
        <f ca="1">SUM(L637,L638)</f>
        <v>3880</v>
      </c>
      <c r="M636" s="512"/>
      <c r="N636" s="511">
        <f ca="1">SUM(N637:N638)</f>
        <v>740</v>
      </c>
      <c r="O636" s="511">
        <f t="shared" ref="O636:O640" ca="1" si="130">+IF(L636&gt;0,N636*100/L636,0)</f>
        <v>19.072164948453608</v>
      </c>
      <c r="P636" s="511"/>
    </row>
    <row r="637" spans="1:16" ht="21.75" customHeight="1" x14ac:dyDescent="0.3">
      <c r="A637" s="513"/>
      <c r="B637" s="514"/>
      <c r="C637" s="515" t="s">
        <v>16</v>
      </c>
      <c r="D637" s="593" t="s">
        <v>77</v>
      </c>
      <c r="E637" s="565"/>
      <c r="F637" s="565"/>
      <c r="G637" s="516" t="s">
        <v>18</v>
      </c>
      <c r="H637" s="517" t="s">
        <v>12</v>
      </c>
      <c r="I637" s="518"/>
      <c r="J637" s="519"/>
      <c r="K637" s="520"/>
      <c r="L637" s="521">
        <v>0</v>
      </c>
      <c r="M637" s="522"/>
      <c r="N637" s="523">
        <v>0</v>
      </c>
      <c r="O637" s="523">
        <f t="shared" si="130"/>
        <v>0</v>
      </c>
      <c r="P637" s="523"/>
    </row>
    <row r="638" spans="1:16" ht="21.75" customHeight="1" x14ac:dyDescent="0.3">
      <c r="A638" s="513"/>
      <c r="B638" s="514"/>
      <c r="C638" s="514"/>
      <c r="D638" s="514"/>
      <c r="E638" s="514"/>
      <c r="F638" s="514"/>
      <c r="G638" s="516" t="s">
        <v>19</v>
      </c>
      <c r="H638" s="517" t="s">
        <v>12</v>
      </c>
      <c r="I638" s="518"/>
      <c r="J638" s="519"/>
      <c r="K638" s="520"/>
      <c r="L638" s="521">
        <f ca="1">SUM(L639:L640)</f>
        <v>3880</v>
      </c>
      <c r="M638" s="522"/>
      <c r="N638" s="523">
        <f ca="1">SUM(N639:N640)</f>
        <v>740</v>
      </c>
      <c r="O638" s="523">
        <f t="shared" ca="1" si="130"/>
        <v>19.072164948453608</v>
      </c>
      <c r="P638" s="523"/>
    </row>
    <row r="639" spans="1:16" ht="21.75" customHeight="1" x14ac:dyDescent="0.3">
      <c r="A639" s="513"/>
      <c r="B639" s="514"/>
      <c r="C639" s="514"/>
      <c r="D639" s="514"/>
      <c r="E639" s="514"/>
      <c r="F639" s="514"/>
      <c r="G639" s="516" t="s">
        <v>21</v>
      </c>
      <c r="H639" s="517" t="s">
        <v>12</v>
      </c>
      <c r="I639" s="519"/>
      <c r="J639" s="519"/>
      <c r="K639" s="520"/>
      <c r="L639" s="523">
        <v>0</v>
      </c>
      <c r="M639" s="522"/>
      <c r="N639" s="523">
        <v>0</v>
      </c>
      <c r="O639" s="523">
        <f t="shared" si="130"/>
        <v>0</v>
      </c>
      <c r="P639" s="523"/>
    </row>
    <row r="640" spans="1:16" ht="21.75" customHeight="1" x14ac:dyDescent="0.3">
      <c r="A640" s="513"/>
      <c r="B640" s="514"/>
      <c r="C640" s="514"/>
      <c r="D640" s="514"/>
      <c r="E640" s="514"/>
      <c r="F640" s="514"/>
      <c r="G640" s="516" t="s">
        <v>22</v>
      </c>
      <c r="H640" s="517" t="s">
        <v>12</v>
      </c>
      <c r="I640" s="519"/>
      <c r="J640" s="519"/>
      <c r="K640" s="520"/>
      <c r="L640" s="523">
        <f ca="1">L648+L649+L650+L651+L661+L665+L668+L671</f>
        <v>3880</v>
      </c>
      <c r="M640" s="522"/>
      <c r="N640" s="523">
        <f ca="1">SUM(N641:N644)</f>
        <v>740</v>
      </c>
      <c r="O640" s="523">
        <f t="shared" ca="1" si="130"/>
        <v>19.072164948453608</v>
      </c>
      <c r="P640" s="523"/>
    </row>
    <row r="641" spans="1:16" ht="21.75" customHeight="1" x14ac:dyDescent="0.3">
      <c r="A641" s="513"/>
      <c r="B641" s="514"/>
      <c r="C641" s="514"/>
      <c r="D641" s="514"/>
      <c r="E641" s="514"/>
      <c r="F641" s="514"/>
      <c r="G641" s="516" t="s">
        <v>238</v>
      </c>
      <c r="H641" s="517" t="s">
        <v>12</v>
      </c>
      <c r="I641" s="524"/>
      <c r="J641" s="524"/>
      <c r="K641" s="525"/>
      <c r="L641" s="525"/>
      <c r="M641" s="522"/>
      <c r="N641" s="523">
        <v>0</v>
      </c>
      <c r="O641" s="525"/>
      <c r="P641" s="525"/>
    </row>
    <row r="642" spans="1:16" ht="21.75" customHeight="1" x14ac:dyDescent="0.3">
      <c r="A642" s="513"/>
      <c r="B642" s="514"/>
      <c r="C642" s="514"/>
      <c r="D642" s="514"/>
      <c r="E642" s="514"/>
      <c r="F642" s="514"/>
      <c r="G642" s="516" t="s">
        <v>239</v>
      </c>
      <c r="H642" s="517" t="s">
        <v>12</v>
      </c>
      <c r="I642" s="524"/>
      <c r="J642" s="524"/>
      <c r="K642" s="525"/>
      <c r="L642" s="525"/>
      <c r="M642" s="522"/>
      <c r="N642" s="523">
        <v>0</v>
      </c>
      <c r="O642" s="525"/>
      <c r="P642" s="525"/>
    </row>
    <row r="643" spans="1:16" ht="21.75" customHeight="1" x14ac:dyDescent="0.3">
      <c r="A643" s="513"/>
      <c r="B643" s="514"/>
      <c r="C643" s="514"/>
      <c r="D643" s="514"/>
      <c r="E643" s="514"/>
      <c r="F643" s="514"/>
      <c r="G643" s="516" t="s">
        <v>240</v>
      </c>
      <c r="H643" s="517" t="s">
        <v>12</v>
      </c>
      <c r="I643" s="524"/>
      <c r="J643" s="524"/>
      <c r="K643" s="525"/>
      <c r="L643" s="525"/>
      <c r="M643" s="522"/>
      <c r="N643" s="523">
        <v>0</v>
      </c>
      <c r="O643" s="525"/>
      <c r="P643" s="525"/>
    </row>
    <row r="644" spans="1:16" ht="21.75" customHeight="1" x14ac:dyDescent="0.3">
      <c r="A644" s="513"/>
      <c r="B644" s="514"/>
      <c r="C644" s="514"/>
      <c r="D644" s="514"/>
      <c r="E644" s="514"/>
      <c r="F644" s="514"/>
      <c r="G644" s="516" t="s">
        <v>241</v>
      </c>
      <c r="H644" s="517" t="s">
        <v>12</v>
      </c>
      <c r="I644" s="526"/>
      <c r="J644" s="524"/>
      <c r="K644" s="525"/>
      <c r="L644" s="525"/>
      <c r="M644" s="522"/>
      <c r="N644" s="523">
        <f ca="1">N648+N649+N650+N651+N661+N665+N668+N671</f>
        <v>740</v>
      </c>
      <c r="O644" s="525"/>
      <c r="P644" s="525"/>
    </row>
    <row r="645" spans="1:16" ht="21.75" customHeight="1" x14ac:dyDescent="0.3">
      <c r="A645" s="527"/>
      <c r="B645" s="528"/>
      <c r="C645" s="515" t="s">
        <v>16</v>
      </c>
      <c r="D645" s="594" t="s">
        <v>242</v>
      </c>
      <c r="E645" s="565"/>
      <c r="F645" s="565"/>
      <c r="G645" s="589"/>
      <c r="H645" s="529"/>
      <c r="I645" s="519"/>
      <c r="J645" s="519"/>
      <c r="K645" s="520"/>
      <c r="L645" s="522"/>
      <c r="M645" s="522"/>
      <c r="N645" s="522"/>
      <c r="O645" s="520"/>
      <c r="P645" s="520"/>
    </row>
    <row r="646" spans="1:16" ht="21.75" customHeight="1" x14ac:dyDescent="0.3">
      <c r="A646" s="527"/>
      <c r="B646" s="528"/>
      <c r="C646" s="528"/>
      <c r="D646" s="530">
        <v>1</v>
      </c>
      <c r="E646" s="595" t="s">
        <v>44</v>
      </c>
      <c r="F646" s="565"/>
      <c r="G646" s="589"/>
      <c r="H646" s="531"/>
      <c r="I646" s="532"/>
      <c r="J646" s="533">
        <f ca="1">IFERROR(__xludf.DUMMYFUNCTION("IMPORTRANGE(""https://docs.google.com/spreadsheets/d/1SX6NBoVAgQJ6U1MVXOaj8PK2l7WJ3RER9xtqwdhxkhw/edit#gid=346597447"",""นครปฐม!J541"")"),0)</f>
        <v>0</v>
      </c>
      <c r="K646" s="520"/>
      <c r="L646" s="522"/>
      <c r="M646" s="522"/>
      <c r="N646" s="534"/>
      <c r="O646" s="520"/>
      <c r="P646" s="520"/>
    </row>
    <row r="647" spans="1:16" ht="21.75" customHeight="1" x14ac:dyDescent="0.3">
      <c r="A647" s="527"/>
      <c r="B647" s="528"/>
      <c r="C647" s="528"/>
      <c r="D647" s="535">
        <v>2</v>
      </c>
      <c r="E647" s="596" t="s">
        <v>243</v>
      </c>
      <c r="F647" s="565"/>
      <c r="G647" s="589"/>
      <c r="H647" s="531"/>
      <c r="I647" s="532"/>
      <c r="J647" s="533">
        <f ca="1">IFERROR(__xludf.DUMMYFUNCTION("IMPORTRANGE(""https://docs.google.com/spreadsheets/d/1SX6NBoVAgQJ6U1MVXOaj8PK2l7WJ3RER9xtqwdhxkhw/edit#gid=346597447"",""นครปฐม!J542"")"),0)</f>
        <v>0</v>
      </c>
      <c r="K647" s="520"/>
      <c r="L647" s="522"/>
      <c r="M647" s="522"/>
      <c r="N647" s="522"/>
      <c r="O647" s="520"/>
      <c r="P647" s="520"/>
    </row>
    <row r="648" spans="1:16" ht="21.75" customHeight="1" x14ac:dyDescent="0.3">
      <c r="A648" s="513"/>
      <c r="B648" s="514"/>
      <c r="C648" s="514"/>
      <c r="D648" s="514"/>
      <c r="E648" s="514"/>
      <c r="F648" s="588" t="s">
        <v>244</v>
      </c>
      <c r="G648" s="589"/>
      <c r="H648" s="517" t="s">
        <v>122</v>
      </c>
      <c r="I648" s="536">
        <f ca="1">IFERROR(__xludf.DUMMYFUNCTION("IMPORTRANGE(""https://docs.google.com/spreadsheets/d/1SX6NBoVAgQJ6U1MVXOaj8PK2l7WJ3RER9xtqwdhxkhw/edit#gid=346597447"",""นครปฐม!I543"")"),0)</f>
        <v>0</v>
      </c>
      <c r="J648" s="537">
        <f ca="1">IFERROR(__xludf.DUMMYFUNCTION("IMPORTRANGE(""https://docs.google.com/spreadsheets/d/1SX6NBoVAgQJ6U1MVXOaj8PK2l7WJ3RER9xtqwdhxkhw/edit#gid=346597447"",""นครปฐม!J543"")"),0)</f>
        <v>0</v>
      </c>
      <c r="K648" s="538">
        <f t="shared" ref="K648:K651" ca="1" si="131">IF(I648&gt;0,J648*100/I648,0)</f>
        <v>0</v>
      </c>
      <c r="L648" s="523">
        <f ca="1">IFERROR(__xludf.DUMMYFUNCTION("IMPORTRANGE(""https://docs.google.com/spreadsheets/d/1SX6NBoVAgQJ6U1MVXOaj8PK2l7WJ3RER9xtqwdhxkhw/edit#gid=346597447"",""นครปฐม!L543"")"),0)</f>
        <v>0</v>
      </c>
      <c r="M648" s="522"/>
      <c r="N648" s="539">
        <f ca="1">IFERROR(__xludf.DUMMYFUNCTION("IMPORTRANGE(""https://docs.google.com/spreadsheets/d/1SX6NBoVAgQJ6U1MVXOaj8PK2l7WJ3RER9xtqwdhxkhw/edit#gid=346597447"",""นครปฐม!M543"")"),0)</f>
        <v>0</v>
      </c>
      <c r="O648" s="538">
        <f t="shared" ref="O648:O651" ca="1" si="132">IF(L648&gt;0,N648*100/L648,0)</f>
        <v>0</v>
      </c>
      <c r="P648" s="538"/>
    </row>
    <row r="649" spans="1:16" ht="21.75" customHeight="1" x14ac:dyDescent="0.3">
      <c r="A649" s="513"/>
      <c r="B649" s="514"/>
      <c r="C649" s="514"/>
      <c r="D649" s="514"/>
      <c r="E649" s="514"/>
      <c r="F649" s="588" t="s">
        <v>245</v>
      </c>
      <c r="G649" s="589"/>
      <c r="H649" s="517" t="s">
        <v>37</v>
      </c>
      <c r="I649" s="536">
        <f ca="1">IFERROR(__xludf.DUMMYFUNCTION("IMPORTRANGE(""https://docs.google.com/spreadsheets/d/1SX6NBoVAgQJ6U1MVXOaj8PK2l7WJ3RER9xtqwdhxkhw/edit#gid=346597447"",""นครปฐม!I544"")"),0)</f>
        <v>0</v>
      </c>
      <c r="J649" s="537">
        <f ca="1">IFERROR(__xludf.DUMMYFUNCTION("IMPORTRANGE(""https://docs.google.com/spreadsheets/d/1SX6NBoVAgQJ6U1MVXOaj8PK2l7WJ3RER9xtqwdhxkhw/edit#gid=346597447"",""นครปฐม!J544"")"),0)</f>
        <v>0</v>
      </c>
      <c r="K649" s="538">
        <f t="shared" ca="1" si="131"/>
        <v>0</v>
      </c>
      <c r="L649" s="523">
        <f ca="1">IFERROR(__xludf.DUMMYFUNCTION("IMPORTRANGE(""https://docs.google.com/spreadsheets/d/1SX6NBoVAgQJ6U1MVXOaj8PK2l7WJ3RER9xtqwdhxkhw/edit#gid=346597447"",""นครปฐม!L544"")"),0)</f>
        <v>0</v>
      </c>
      <c r="M649" s="522"/>
      <c r="N649" s="539">
        <f ca="1">IFERROR(__xludf.DUMMYFUNCTION("IMPORTRANGE(""https://docs.google.com/spreadsheets/d/1SX6NBoVAgQJ6U1MVXOaj8PK2l7WJ3RER9xtqwdhxkhw/edit#gid=346597447"",""นครปฐม!M544"")"),0)</f>
        <v>0</v>
      </c>
      <c r="O649" s="538">
        <f t="shared" ca="1" si="132"/>
        <v>0</v>
      </c>
      <c r="P649" s="538"/>
    </row>
    <row r="650" spans="1:16" ht="21.75" customHeight="1" x14ac:dyDescent="0.3">
      <c r="A650" s="513"/>
      <c r="B650" s="514"/>
      <c r="C650" s="514"/>
      <c r="D650" s="514"/>
      <c r="E650" s="514"/>
      <c r="F650" s="588" t="s">
        <v>246</v>
      </c>
      <c r="G650" s="589"/>
      <c r="H650" s="517" t="s">
        <v>122</v>
      </c>
      <c r="I650" s="536">
        <f ca="1">IFERROR(__xludf.DUMMYFUNCTION("IMPORTRANGE(""https://docs.google.com/spreadsheets/d/1SX6NBoVAgQJ6U1MVXOaj8PK2l7WJ3RER9xtqwdhxkhw/edit#gid=346597447"",""นครปฐม!I545"")"),0)</f>
        <v>0</v>
      </c>
      <c r="J650" s="537">
        <f ca="1">IFERROR(__xludf.DUMMYFUNCTION("IMPORTRANGE(""https://docs.google.com/spreadsheets/d/1SX6NBoVAgQJ6U1MVXOaj8PK2l7WJ3RER9xtqwdhxkhw/edit#gid=346597447"",""นครปฐม!J545"")"),0)</f>
        <v>0</v>
      </c>
      <c r="K650" s="538">
        <f t="shared" ca="1" si="131"/>
        <v>0</v>
      </c>
      <c r="L650" s="523">
        <f ca="1">IFERROR(__xludf.DUMMYFUNCTION("IMPORTRANGE(""https://docs.google.com/spreadsheets/d/1SX6NBoVAgQJ6U1MVXOaj8PK2l7WJ3RER9xtqwdhxkhw/edit#gid=346597447"",""นครปฐม!L545"")"),0)</f>
        <v>0</v>
      </c>
      <c r="M650" s="522"/>
      <c r="N650" s="539">
        <f ca="1">IFERROR(__xludf.DUMMYFUNCTION("IMPORTRANGE(""https://docs.google.com/spreadsheets/d/1SX6NBoVAgQJ6U1MVXOaj8PK2l7WJ3RER9xtqwdhxkhw/edit#gid=346597447"",""นครปฐม!M545"")"),0)</f>
        <v>0</v>
      </c>
      <c r="O650" s="538">
        <f t="shared" ca="1" si="132"/>
        <v>0</v>
      </c>
      <c r="P650" s="538"/>
    </row>
    <row r="651" spans="1:16" ht="21.75" customHeight="1" x14ac:dyDescent="0.3">
      <c r="A651" s="513"/>
      <c r="B651" s="514"/>
      <c r="C651" s="514"/>
      <c r="D651" s="514"/>
      <c r="E651" s="514"/>
      <c r="F651" s="588" t="s">
        <v>247</v>
      </c>
      <c r="G651" s="589"/>
      <c r="H651" s="517" t="s">
        <v>122</v>
      </c>
      <c r="I651" s="536">
        <f ca="1">IFERROR(__xludf.DUMMYFUNCTION("IMPORTRANGE(""https://docs.google.com/spreadsheets/d/1SX6NBoVAgQJ6U1MVXOaj8PK2l7WJ3RER9xtqwdhxkhw/edit#gid=346597447"",""นครปฐม!I546"")"),0)</f>
        <v>0</v>
      </c>
      <c r="J651" s="537">
        <f ca="1">J657+J660</f>
        <v>0</v>
      </c>
      <c r="K651" s="538">
        <f t="shared" ca="1" si="131"/>
        <v>0</v>
      </c>
      <c r="L651" s="523">
        <f ca="1">IFERROR(__xludf.DUMMYFUNCTION("IMPORTRANGE(""https://docs.google.com/spreadsheets/d/1SX6NBoVAgQJ6U1MVXOaj8PK2l7WJ3RER9xtqwdhxkhw/edit#gid=346597447"",""นครปฐม!L546"")"),0)</f>
        <v>0</v>
      </c>
      <c r="M651" s="522"/>
      <c r="N651" s="539">
        <f ca="1">IFERROR(__xludf.DUMMYFUNCTION("IMPORTRANGE(""https://docs.google.com/spreadsheets/d/1SX6NBoVAgQJ6U1MVXOaj8PK2l7WJ3RER9xtqwdhxkhw/edit#gid=346597447"",""นครปฐม!M546"")"),0)</f>
        <v>0</v>
      </c>
      <c r="O651" s="538">
        <f t="shared" ca="1" si="132"/>
        <v>0</v>
      </c>
      <c r="P651" s="538"/>
    </row>
    <row r="652" spans="1:16" ht="21.75" customHeight="1" x14ac:dyDescent="0.3">
      <c r="A652" s="513"/>
      <c r="B652" s="514"/>
      <c r="C652" s="514"/>
      <c r="D652" s="514"/>
      <c r="E652" s="514"/>
      <c r="F652" s="514"/>
      <c r="G652" s="516" t="s">
        <v>248</v>
      </c>
      <c r="H652" s="517" t="s">
        <v>36</v>
      </c>
      <c r="I652" s="540"/>
      <c r="J652" s="533">
        <f ca="1">IFERROR(__xludf.DUMMYFUNCTION("IMPORTRANGE(""https://docs.google.com/spreadsheets/d/1SX6NBoVAgQJ6U1MVXOaj8PK2l7WJ3RER9xtqwdhxkhw/edit#gid=346597447"",""นครปฐม!J547"")"),0)</f>
        <v>0</v>
      </c>
      <c r="K652" s="538"/>
      <c r="L652" s="522"/>
      <c r="M652" s="522"/>
      <c r="N652" s="522"/>
      <c r="O652" s="520"/>
      <c r="P652" s="520"/>
    </row>
    <row r="653" spans="1:16" ht="21.75" customHeight="1" x14ac:dyDescent="0.3">
      <c r="A653" s="513"/>
      <c r="B653" s="514"/>
      <c r="C653" s="514"/>
      <c r="D653" s="514"/>
      <c r="E653" s="514"/>
      <c r="F653" s="514"/>
      <c r="G653" s="531"/>
      <c r="H653" s="517" t="s">
        <v>122</v>
      </c>
      <c r="I653" s="540"/>
      <c r="J653" s="533">
        <f ca="1">IFERROR(__xludf.DUMMYFUNCTION("IMPORTRANGE(""https://docs.google.com/spreadsheets/d/1SX6NBoVAgQJ6U1MVXOaj8PK2l7WJ3RER9xtqwdhxkhw/edit#gid=346597447"",""นครปฐม!J548"")"),0)</f>
        <v>0</v>
      </c>
      <c r="K653" s="538"/>
      <c r="L653" s="522"/>
      <c r="M653" s="522"/>
      <c r="N653" s="522"/>
      <c r="O653" s="520"/>
      <c r="P653" s="520"/>
    </row>
    <row r="654" spans="1:16" ht="21.75" customHeight="1" x14ac:dyDescent="0.3">
      <c r="A654" s="513"/>
      <c r="B654" s="514"/>
      <c r="C654" s="514"/>
      <c r="D654" s="514"/>
      <c r="E654" s="514"/>
      <c r="F654" s="514"/>
      <c r="G654" s="516" t="s">
        <v>249</v>
      </c>
      <c r="H654" s="529"/>
      <c r="I654" s="540"/>
      <c r="J654" s="541"/>
      <c r="K654" s="538"/>
      <c r="L654" s="522"/>
      <c r="M654" s="522"/>
      <c r="N654" s="522"/>
      <c r="O654" s="520"/>
      <c r="P654" s="520"/>
    </row>
    <row r="655" spans="1:16" ht="21.75" customHeight="1" x14ac:dyDescent="0.3">
      <c r="A655" s="513"/>
      <c r="B655" s="514"/>
      <c r="C655" s="514"/>
      <c r="D655" s="514"/>
      <c r="E655" s="514"/>
      <c r="F655" s="514"/>
      <c r="G655" s="516" t="s">
        <v>250</v>
      </c>
      <c r="H655" s="517" t="s">
        <v>37</v>
      </c>
      <c r="I655" s="540"/>
      <c r="J655" s="533">
        <f ca="1">IFERROR(__xludf.DUMMYFUNCTION("IMPORTRANGE(""https://docs.google.com/spreadsheets/d/1SX6NBoVAgQJ6U1MVXOaj8PK2l7WJ3RER9xtqwdhxkhw/edit#gid=346597447"",""นครปฐม!J550"")"),0)</f>
        <v>0</v>
      </c>
      <c r="K655" s="538"/>
      <c r="L655" s="522"/>
      <c r="M655" s="522"/>
      <c r="N655" s="522"/>
      <c r="O655" s="520"/>
      <c r="P655" s="520"/>
    </row>
    <row r="656" spans="1:16" ht="21.75" customHeight="1" x14ac:dyDescent="0.3">
      <c r="A656" s="513"/>
      <c r="B656" s="514"/>
      <c r="C656" s="514"/>
      <c r="D656" s="514"/>
      <c r="E656" s="514"/>
      <c r="F656" s="514"/>
      <c r="G656" s="531"/>
      <c r="H656" s="517" t="s">
        <v>36</v>
      </c>
      <c r="I656" s="540"/>
      <c r="J656" s="533">
        <f ca="1">IFERROR(__xludf.DUMMYFUNCTION("IMPORTRANGE(""https://docs.google.com/spreadsheets/d/1SX6NBoVAgQJ6U1MVXOaj8PK2l7WJ3RER9xtqwdhxkhw/edit#gid=346597447"",""นครปฐม!J551"")"),0)</f>
        <v>0</v>
      </c>
      <c r="K656" s="538"/>
      <c r="L656" s="522"/>
      <c r="M656" s="522"/>
      <c r="N656" s="522"/>
      <c r="O656" s="520"/>
      <c r="P656" s="520"/>
    </row>
    <row r="657" spans="1:16" ht="21.75" customHeight="1" x14ac:dyDescent="0.3">
      <c r="A657" s="513"/>
      <c r="B657" s="514"/>
      <c r="C657" s="514"/>
      <c r="D657" s="514"/>
      <c r="E657" s="514"/>
      <c r="F657" s="514"/>
      <c r="G657" s="531"/>
      <c r="H657" s="517" t="s">
        <v>122</v>
      </c>
      <c r="I657" s="540"/>
      <c r="J657" s="533">
        <f ca="1">IFERROR(__xludf.DUMMYFUNCTION("IMPORTRANGE(""https://docs.google.com/spreadsheets/d/1SX6NBoVAgQJ6U1MVXOaj8PK2l7WJ3RER9xtqwdhxkhw/edit#gid=346597447"",""นครปฐม!J552"")"),0)</f>
        <v>0</v>
      </c>
      <c r="K657" s="538"/>
      <c r="L657" s="522"/>
      <c r="M657" s="522"/>
      <c r="N657" s="522"/>
      <c r="O657" s="520"/>
      <c r="P657" s="520"/>
    </row>
    <row r="658" spans="1:16" ht="21.75" customHeight="1" x14ac:dyDescent="0.3">
      <c r="A658" s="513"/>
      <c r="B658" s="514"/>
      <c r="C658" s="514"/>
      <c r="D658" s="514"/>
      <c r="E658" s="514"/>
      <c r="F658" s="514"/>
      <c r="G658" s="516" t="s">
        <v>251</v>
      </c>
      <c r="H658" s="517" t="s">
        <v>37</v>
      </c>
      <c r="I658" s="540"/>
      <c r="J658" s="533">
        <f ca="1">IFERROR(__xludf.DUMMYFUNCTION("IMPORTRANGE(""https://docs.google.com/spreadsheets/d/1SX6NBoVAgQJ6U1MVXOaj8PK2l7WJ3RER9xtqwdhxkhw/edit#gid=346597447"",""นครปฐม!J553"")"),0)</f>
        <v>0</v>
      </c>
      <c r="K658" s="538"/>
      <c r="L658" s="522"/>
      <c r="M658" s="522"/>
      <c r="N658" s="522"/>
      <c r="O658" s="520"/>
      <c r="P658" s="520"/>
    </row>
    <row r="659" spans="1:16" ht="21.75" customHeight="1" x14ac:dyDescent="0.3">
      <c r="A659" s="513"/>
      <c r="B659" s="514"/>
      <c r="C659" s="514"/>
      <c r="D659" s="514"/>
      <c r="E659" s="514"/>
      <c r="F659" s="514"/>
      <c r="G659" s="531"/>
      <c r="H659" s="517" t="s">
        <v>36</v>
      </c>
      <c r="I659" s="540"/>
      <c r="J659" s="533">
        <f ca="1">IFERROR(__xludf.DUMMYFUNCTION("IMPORTRANGE(""https://docs.google.com/spreadsheets/d/1SX6NBoVAgQJ6U1MVXOaj8PK2l7WJ3RER9xtqwdhxkhw/edit#gid=346597447"",""นครปฐม!J554"")"),0)</f>
        <v>0</v>
      </c>
      <c r="K659" s="538"/>
      <c r="L659" s="522"/>
      <c r="M659" s="522"/>
      <c r="N659" s="522"/>
      <c r="O659" s="520"/>
      <c r="P659" s="520"/>
    </row>
    <row r="660" spans="1:16" ht="21.75" customHeight="1" x14ac:dyDescent="0.3">
      <c r="A660" s="513"/>
      <c r="B660" s="514"/>
      <c r="C660" s="514"/>
      <c r="D660" s="514"/>
      <c r="E660" s="514"/>
      <c r="F660" s="514"/>
      <c r="G660" s="531"/>
      <c r="H660" s="517" t="s">
        <v>122</v>
      </c>
      <c r="I660" s="540"/>
      <c r="J660" s="533">
        <f ca="1">IFERROR(__xludf.DUMMYFUNCTION("IMPORTRANGE(""https://docs.google.com/spreadsheets/d/1SX6NBoVAgQJ6U1MVXOaj8PK2l7WJ3RER9xtqwdhxkhw/edit#gid=346597447"",""นครปฐม!J555"")"),0)</f>
        <v>0</v>
      </c>
      <c r="K660" s="538"/>
      <c r="L660" s="522"/>
      <c r="M660" s="522"/>
      <c r="N660" s="522"/>
      <c r="O660" s="520"/>
      <c r="P660" s="520"/>
    </row>
    <row r="661" spans="1:16" ht="21.75" customHeight="1" x14ac:dyDescent="0.3">
      <c r="A661" s="513"/>
      <c r="B661" s="514"/>
      <c r="C661" s="514"/>
      <c r="D661" s="514"/>
      <c r="E661" s="514"/>
      <c r="F661" s="588" t="s">
        <v>252</v>
      </c>
      <c r="G661" s="589"/>
      <c r="H661" s="517" t="s">
        <v>37</v>
      </c>
      <c r="I661" s="540"/>
      <c r="J661" s="537">
        <f ca="1">IFERROR(__xludf.DUMMYFUNCTION("IMPORTRANGE(""https://docs.google.com/spreadsheets/d/1SX6NBoVAgQJ6U1MVXOaj8PK2l7WJ3RER9xtqwdhxkhw/edit#gid=346597447"",""นครปฐม!J556"")"),0)</f>
        <v>0</v>
      </c>
      <c r="K661" s="538"/>
      <c r="L661" s="523">
        <f ca="1">IFERROR(__xludf.DUMMYFUNCTION("IMPORTRANGE(""https://docs.google.com/spreadsheets/d/1SX6NBoVAgQJ6U1MVXOaj8PK2l7WJ3RER9xtqwdhxkhw/edit#gid=346597447"",""นครปฐม!L556"")"),2040)</f>
        <v>2040</v>
      </c>
      <c r="M661" s="522"/>
      <c r="N661" s="539">
        <f ca="1">IFERROR(__xludf.DUMMYFUNCTION("IMPORTRANGE(""https://docs.google.com/spreadsheets/d/1SX6NBoVAgQJ6U1MVXOaj8PK2l7WJ3RER9xtqwdhxkhw/edit#gid=346597447"",""นครปฐม!M556"")"),0)</f>
        <v>0</v>
      </c>
      <c r="O661" s="538">
        <f ca="1">IF(L661&gt;0,N661*100/L661,0)</f>
        <v>0</v>
      </c>
      <c r="P661" s="538"/>
    </row>
    <row r="662" spans="1:16" ht="21.75" customHeight="1" x14ac:dyDescent="0.3">
      <c r="A662" s="513"/>
      <c r="B662" s="514"/>
      <c r="C662" s="514"/>
      <c r="D662" s="514"/>
      <c r="E662" s="514"/>
      <c r="F662" s="514"/>
      <c r="G662" s="531"/>
      <c r="H662" s="517" t="s">
        <v>36</v>
      </c>
      <c r="I662" s="540"/>
      <c r="J662" s="537">
        <f ca="1">IFERROR(__xludf.DUMMYFUNCTION("IMPORTRANGE(""https://docs.google.com/spreadsheets/d/1SX6NBoVAgQJ6U1MVXOaj8PK2l7WJ3RER9xtqwdhxkhw/edit#gid=346597447"",""นครปฐม!J557"")"),0)</f>
        <v>0</v>
      </c>
      <c r="K662" s="538"/>
      <c r="L662" s="522"/>
      <c r="M662" s="522"/>
      <c r="N662" s="522"/>
      <c r="O662" s="520"/>
      <c r="P662" s="520"/>
    </row>
    <row r="663" spans="1:16" ht="21.75" customHeight="1" x14ac:dyDescent="0.3">
      <c r="A663" s="513"/>
      <c r="B663" s="514"/>
      <c r="C663" s="514"/>
      <c r="D663" s="514"/>
      <c r="E663" s="514"/>
      <c r="F663" s="514"/>
      <c r="G663" s="531"/>
      <c r="H663" s="517" t="s">
        <v>122</v>
      </c>
      <c r="I663" s="536">
        <f ca="1">IFERROR(__xludf.DUMMYFUNCTION("IMPORTRANGE(""https://docs.google.com/spreadsheets/d/1SX6NBoVAgQJ6U1MVXOaj8PK2l7WJ3RER9xtqwdhxkhw/edit#gid=346597447"",""นครปฐม!I558"")"),51)</f>
        <v>51</v>
      </c>
      <c r="J663" s="537">
        <f ca="1">IFERROR(__xludf.DUMMYFUNCTION("IMPORTRANGE(""https://docs.google.com/spreadsheets/d/1SX6NBoVAgQJ6U1MVXOaj8PK2l7WJ3RER9xtqwdhxkhw/edit#gid=346597447"",""นครปฐม!J558"")"),0)</f>
        <v>0</v>
      </c>
      <c r="K663" s="538">
        <f ca="1">IF(I663&gt;0,J663*100/I663,0)</f>
        <v>0</v>
      </c>
      <c r="L663" s="522"/>
      <c r="M663" s="522"/>
      <c r="N663" s="522"/>
      <c r="O663" s="520"/>
      <c r="P663" s="520"/>
    </row>
    <row r="664" spans="1:16" ht="21.75" customHeight="1" x14ac:dyDescent="0.3">
      <c r="A664" s="513"/>
      <c r="B664" s="514"/>
      <c r="C664" s="514"/>
      <c r="D664" s="514"/>
      <c r="E664" s="514"/>
      <c r="F664" s="588" t="s">
        <v>253</v>
      </c>
      <c r="G664" s="589"/>
      <c r="H664" s="529"/>
      <c r="I664" s="540"/>
      <c r="J664" s="541"/>
      <c r="K664" s="538"/>
      <c r="L664" s="522"/>
      <c r="M664" s="522"/>
      <c r="N664" s="534"/>
      <c r="O664" s="520"/>
      <c r="P664" s="520"/>
    </row>
    <row r="665" spans="1:16" ht="21.75" customHeight="1" x14ac:dyDescent="0.3">
      <c r="A665" s="513"/>
      <c r="B665" s="514"/>
      <c r="C665" s="514"/>
      <c r="D665" s="514"/>
      <c r="E665" s="514"/>
      <c r="F665" s="514"/>
      <c r="G665" s="516" t="s">
        <v>254</v>
      </c>
      <c r="H665" s="517" t="s">
        <v>37</v>
      </c>
      <c r="I665" s="536">
        <f ca="1">IFERROR(__xludf.DUMMYFUNCTION("IMPORTRANGE(""https://docs.google.com/spreadsheets/d/1SX6NBoVAgQJ6U1MVXOaj8PK2l7WJ3RER9xtqwdhxkhw/edit#gid=346597447"",""นครปฐม!I560"")"),1)</f>
        <v>1</v>
      </c>
      <c r="J665" s="537">
        <f ca="1">IFERROR(__xludf.DUMMYFUNCTION("IMPORTRANGE(""https://docs.google.com/spreadsheets/d/1SX6NBoVAgQJ6U1MVXOaj8PK2l7WJ3RER9xtqwdhxkhw/edit#gid=346597447"",""นครปฐม!J560"")"),2)</f>
        <v>2</v>
      </c>
      <c r="K665" s="538">
        <f ca="1">IF(I665&gt;0,J665*100/I665,0)</f>
        <v>200</v>
      </c>
      <c r="L665" s="523">
        <f ca="1">IFERROR(__xludf.DUMMYFUNCTION("IMPORTRANGE(""https://docs.google.com/spreadsheets/d/1SX6NBoVAgQJ6U1MVXOaj8PK2l7WJ3RER9xtqwdhxkhw/edit#gid=346597447"",""นครปฐม!L560"")"),120)</f>
        <v>120</v>
      </c>
      <c r="M665" s="522"/>
      <c r="N665" s="539">
        <f ca="1">IFERROR(__xludf.DUMMYFUNCTION("IMPORTRANGE(""https://docs.google.com/spreadsheets/d/1SX6NBoVAgQJ6U1MVXOaj8PK2l7WJ3RER9xtqwdhxkhw/edit#gid=346597447"",""นครปฐม!M560"")"),0)</f>
        <v>0</v>
      </c>
      <c r="O665" s="538">
        <f ca="1">IF(L665&gt;0,N665*100/L665,0)</f>
        <v>0</v>
      </c>
      <c r="P665" s="538"/>
    </row>
    <row r="666" spans="1:16" ht="21.75" customHeight="1" x14ac:dyDescent="0.3">
      <c r="A666" s="513"/>
      <c r="B666" s="514"/>
      <c r="C666" s="514"/>
      <c r="D666" s="514"/>
      <c r="E666" s="514"/>
      <c r="F666" s="514"/>
      <c r="G666" s="531"/>
      <c r="H666" s="517" t="s">
        <v>36</v>
      </c>
      <c r="I666" s="540"/>
      <c r="J666" s="537">
        <f ca="1">IFERROR(__xludf.DUMMYFUNCTION("IMPORTRANGE(""https://docs.google.com/spreadsheets/d/1SX6NBoVAgQJ6U1MVXOaj8PK2l7WJ3RER9xtqwdhxkhw/edit#gid=346597447"",""นครปฐม!J561"")"),2)</f>
        <v>2</v>
      </c>
      <c r="K666" s="538"/>
      <c r="L666" s="522"/>
      <c r="M666" s="522"/>
      <c r="N666" s="522"/>
      <c r="O666" s="520"/>
      <c r="P666" s="520"/>
    </row>
    <row r="667" spans="1:16" ht="21.75" customHeight="1" x14ac:dyDescent="0.3">
      <c r="A667" s="513"/>
      <c r="B667" s="514"/>
      <c r="C667" s="514"/>
      <c r="D667" s="514"/>
      <c r="E667" s="514"/>
      <c r="F667" s="514"/>
      <c r="G667" s="531"/>
      <c r="H667" s="517" t="s">
        <v>122</v>
      </c>
      <c r="I667" s="540"/>
      <c r="J667" s="537">
        <f ca="1">IFERROR(__xludf.DUMMYFUNCTION("IMPORTRANGE(""https://docs.google.com/spreadsheets/d/1SX6NBoVAgQJ6U1MVXOaj8PK2l7WJ3RER9xtqwdhxkhw/edit#gid=346597447"",""นครปฐม!J562"")"),14.13)</f>
        <v>14.13</v>
      </c>
      <c r="K667" s="538"/>
      <c r="L667" s="522"/>
      <c r="M667" s="522"/>
      <c r="N667" s="522"/>
      <c r="O667" s="520"/>
      <c r="P667" s="520"/>
    </row>
    <row r="668" spans="1:16" ht="21.75" customHeight="1" x14ac:dyDescent="0.3">
      <c r="A668" s="513"/>
      <c r="B668" s="514"/>
      <c r="C668" s="514"/>
      <c r="D668" s="514"/>
      <c r="E668" s="514"/>
      <c r="F668" s="514"/>
      <c r="G668" s="516" t="s">
        <v>255</v>
      </c>
      <c r="H668" s="517" t="s">
        <v>37</v>
      </c>
      <c r="I668" s="536">
        <f ca="1">IFERROR(__xludf.DUMMYFUNCTION("IMPORTRANGE(""https://docs.google.com/spreadsheets/d/1SX6NBoVAgQJ6U1MVXOaj8PK2l7WJ3RER9xtqwdhxkhw/edit#gid=346597447"",""นครปฐม!I563"")"),1)</f>
        <v>1</v>
      </c>
      <c r="J668" s="537">
        <f ca="1">IFERROR(__xludf.DUMMYFUNCTION("IMPORTRANGE(""https://docs.google.com/spreadsheets/d/1SX6NBoVAgQJ6U1MVXOaj8PK2l7WJ3RER9xtqwdhxkhw/edit#gid=346597447"",""นครปฐม!J563"")"),4)</f>
        <v>4</v>
      </c>
      <c r="K668" s="538">
        <f ca="1">IF(I668&gt;0,J668*100/I668,0)</f>
        <v>400</v>
      </c>
      <c r="L668" s="523">
        <f ca="1">IFERROR(__xludf.DUMMYFUNCTION("IMPORTRANGE(""https://docs.google.com/spreadsheets/d/1SX6NBoVAgQJ6U1MVXOaj8PK2l7WJ3RER9xtqwdhxkhw/edit#gid=346597447"",""นครปฐม!L563"")"),1720)</f>
        <v>1720</v>
      </c>
      <c r="M668" s="522"/>
      <c r="N668" s="539">
        <f ca="1">IFERROR(__xludf.DUMMYFUNCTION("IMPORTRANGE(""https://docs.google.com/spreadsheets/d/1SX6NBoVAgQJ6U1MVXOaj8PK2l7WJ3RER9xtqwdhxkhw/edit#gid=346597447"",""นครปฐม!M563"")"),740)</f>
        <v>740</v>
      </c>
      <c r="O668" s="538">
        <f ca="1">IF(L668&gt;0,N668*100/L668,0)</f>
        <v>43.02325581395349</v>
      </c>
      <c r="P668" s="538"/>
    </row>
    <row r="669" spans="1:16" ht="21.75" customHeight="1" x14ac:dyDescent="0.3">
      <c r="A669" s="513"/>
      <c r="B669" s="514"/>
      <c r="C669" s="514"/>
      <c r="D669" s="514"/>
      <c r="E669" s="514"/>
      <c r="F669" s="514"/>
      <c r="G669" s="531"/>
      <c r="H669" s="517" t="s">
        <v>36</v>
      </c>
      <c r="I669" s="540"/>
      <c r="J669" s="537">
        <f ca="1">IFERROR(__xludf.DUMMYFUNCTION("IMPORTRANGE(""https://docs.google.com/spreadsheets/d/1SX6NBoVAgQJ6U1MVXOaj8PK2l7WJ3RER9xtqwdhxkhw/edit#gid=346597447"",""นครปฐม!J564"")"),4)</f>
        <v>4</v>
      </c>
      <c r="K669" s="538"/>
      <c r="L669" s="522"/>
      <c r="M669" s="522"/>
      <c r="N669" s="522"/>
      <c r="O669" s="520"/>
      <c r="P669" s="520"/>
    </row>
    <row r="670" spans="1:16" ht="21.75" customHeight="1" x14ac:dyDescent="0.3">
      <c r="A670" s="513"/>
      <c r="B670" s="514"/>
      <c r="C670" s="514"/>
      <c r="D670" s="514"/>
      <c r="E670" s="514"/>
      <c r="F670" s="514"/>
      <c r="G670" s="531"/>
      <c r="H670" s="517" t="s">
        <v>122</v>
      </c>
      <c r="I670" s="540"/>
      <c r="J670" s="537">
        <f ca="1">IFERROR(__xludf.DUMMYFUNCTION("IMPORTRANGE(""https://docs.google.com/spreadsheets/d/1SX6NBoVAgQJ6U1MVXOaj8PK2l7WJ3RER9xtqwdhxkhw/edit#gid=346597447"",""นครปฐม!J565"")"),23.74)</f>
        <v>23.74</v>
      </c>
      <c r="K670" s="538"/>
      <c r="L670" s="522"/>
      <c r="M670" s="522"/>
      <c r="N670" s="522"/>
      <c r="O670" s="520"/>
      <c r="P670" s="520"/>
    </row>
    <row r="671" spans="1:16" ht="21.75" customHeight="1" x14ac:dyDescent="0.3">
      <c r="A671" s="513"/>
      <c r="B671" s="514"/>
      <c r="C671" s="514"/>
      <c r="D671" s="514"/>
      <c r="E671" s="514"/>
      <c r="F671" s="588" t="s">
        <v>256</v>
      </c>
      <c r="G671" s="589"/>
      <c r="H671" s="517" t="s">
        <v>122</v>
      </c>
      <c r="I671" s="536">
        <f ca="1">IFERROR(__xludf.DUMMYFUNCTION("IMPORTRANGE(""https://docs.google.com/spreadsheets/d/1SX6NBoVAgQJ6U1MVXOaj8PK2l7WJ3RER9xtqwdhxkhw/edit#gid=346597447"",""นครปฐม!I566"")"),0)</f>
        <v>0</v>
      </c>
      <c r="J671" s="537">
        <f ca="1">J674+J677</f>
        <v>0</v>
      </c>
      <c r="K671" s="538">
        <f ca="1">IF(I671&gt;0,J671*100/I671,0)</f>
        <v>0</v>
      </c>
      <c r="L671" s="523">
        <f ca="1">IFERROR(__xludf.DUMMYFUNCTION("IMPORTRANGE(""https://docs.google.com/spreadsheets/d/1SX6NBoVAgQJ6U1MVXOaj8PK2l7WJ3RER9xtqwdhxkhw/edit#gid=346597447"",""นครปฐม!L566"")"),0)</f>
        <v>0</v>
      </c>
      <c r="M671" s="522"/>
      <c r="N671" s="539">
        <f ca="1">IFERROR(__xludf.DUMMYFUNCTION("IMPORTRANGE(""https://docs.google.com/spreadsheets/d/1SX6NBoVAgQJ6U1MVXOaj8PK2l7WJ3RER9xtqwdhxkhw/edit#gid=346597447"",""นครปฐม!M566"")"),0)</f>
        <v>0</v>
      </c>
      <c r="O671" s="538">
        <f ca="1">IF(L671&gt;0,N671*100/L671,0)</f>
        <v>0</v>
      </c>
      <c r="P671" s="538"/>
    </row>
    <row r="672" spans="1:16" ht="21.75" customHeight="1" x14ac:dyDescent="0.3">
      <c r="A672" s="513"/>
      <c r="B672" s="514"/>
      <c r="C672" s="514"/>
      <c r="D672" s="514"/>
      <c r="E672" s="514"/>
      <c r="F672" s="514"/>
      <c r="G672" s="516" t="s">
        <v>257</v>
      </c>
      <c r="H672" s="517" t="s">
        <v>37</v>
      </c>
      <c r="I672" s="540"/>
      <c r="J672" s="533">
        <f ca="1">IFERROR(__xludf.DUMMYFUNCTION("IMPORTRANGE(""https://docs.google.com/spreadsheets/d/1SX6NBoVAgQJ6U1MVXOaj8PK2l7WJ3RER9xtqwdhxkhw/edit#gid=346597447"",""นครปฐม!J567"")"),0)</f>
        <v>0</v>
      </c>
      <c r="K672" s="538"/>
      <c r="L672" s="522"/>
      <c r="M672" s="522"/>
      <c r="N672" s="522"/>
      <c r="O672" s="520"/>
      <c r="P672" s="520"/>
    </row>
    <row r="673" spans="1:16" ht="21.75" customHeight="1" x14ac:dyDescent="0.3">
      <c r="A673" s="513"/>
      <c r="B673" s="514"/>
      <c r="C673" s="514"/>
      <c r="D673" s="514"/>
      <c r="E673" s="514"/>
      <c r="F673" s="514"/>
      <c r="G673" s="531"/>
      <c r="H673" s="517" t="s">
        <v>36</v>
      </c>
      <c r="I673" s="540"/>
      <c r="J673" s="533">
        <f ca="1">IFERROR(__xludf.DUMMYFUNCTION("IMPORTRANGE(""https://docs.google.com/spreadsheets/d/1SX6NBoVAgQJ6U1MVXOaj8PK2l7WJ3RER9xtqwdhxkhw/edit#gid=346597447"",""นครปฐม!J568"")"),0)</f>
        <v>0</v>
      </c>
      <c r="K673" s="538"/>
      <c r="L673" s="522"/>
      <c r="M673" s="522"/>
      <c r="N673" s="522"/>
      <c r="O673" s="520"/>
      <c r="P673" s="520"/>
    </row>
    <row r="674" spans="1:16" ht="21.75" customHeight="1" x14ac:dyDescent="0.3">
      <c r="A674" s="513"/>
      <c r="B674" s="514"/>
      <c r="C674" s="514"/>
      <c r="D674" s="514"/>
      <c r="E674" s="514"/>
      <c r="F674" s="514"/>
      <c r="G674" s="531"/>
      <c r="H674" s="517" t="s">
        <v>122</v>
      </c>
      <c r="I674" s="540"/>
      <c r="J674" s="533">
        <f ca="1">IFERROR(__xludf.DUMMYFUNCTION("IMPORTRANGE(""https://docs.google.com/spreadsheets/d/1SX6NBoVAgQJ6U1MVXOaj8PK2l7WJ3RER9xtqwdhxkhw/edit#gid=346597447"",""นครปฐม!J569"")"),0)</f>
        <v>0</v>
      </c>
      <c r="K674" s="538"/>
      <c r="L674" s="522"/>
      <c r="M674" s="522"/>
      <c r="N674" s="522"/>
      <c r="O674" s="520"/>
      <c r="P674" s="520"/>
    </row>
    <row r="675" spans="1:16" ht="21.75" customHeight="1" x14ac:dyDescent="0.3">
      <c r="A675" s="513"/>
      <c r="B675" s="514"/>
      <c r="C675" s="514"/>
      <c r="D675" s="514"/>
      <c r="E675" s="514"/>
      <c r="F675" s="514"/>
      <c r="G675" s="516" t="s">
        <v>258</v>
      </c>
      <c r="H675" s="517" t="s">
        <v>37</v>
      </c>
      <c r="I675" s="540"/>
      <c r="J675" s="533">
        <f ca="1">IFERROR(__xludf.DUMMYFUNCTION("IMPORTRANGE(""https://docs.google.com/spreadsheets/d/1SX6NBoVAgQJ6U1MVXOaj8PK2l7WJ3RER9xtqwdhxkhw/edit#gid=346597447"",""นครปฐม!J570"")"),0)</f>
        <v>0</v>
      </c>
      <c r="K675" s="538"/>
      <c r="L675" s="522"/>
      <c r="M675" s="522"/>
      <c r="N675" s="522"/>
      <c r="O675" s="520"/>
      <c r="P675" s="520"/>
    </row>
    <row r="676" spans="1:16" ht="21.75" customHeight="1" x14ac:dyDescent="0.3">
      <c r="A676" s="513"/>
      <c r="B676" s="514"/>
      <c r="C676" s="514"/>
      <c r="D676" s="514"/>
      <c r="E676" s="514"/>
      <c r="F676" s="514"/>
      <c r="G676" s="531"/>
      <c r="H676" s="517" t="s">
        <v>36</v>
      </c>
      <c r="I676" s="540"/>
      <c r="J676" s="533">
        <f ca="1">IFERROR(__xludf.DUMMYFUNCTION("IMPORTRANGE(""https://docs.google.com/spreadsheets/d/1SX6NBoVAgQJ6U1MVXOaj8PK2l7WJ3RER9xtqwdhxkhw/edit#gid=346597447"",""นครปฐม!J571"")"),0)</f>
        <v>0</v>
      </c>
      <c r="K676" s="538"/>
      <c r="L676" s="522"/>
      <c r="M676" s="522"/>
      <c r="N676" s="522"/>
      <c r="O676" s="520"/>
      <c r="P676" s="520"/>
    </row>
    <row r="677" spans="1:16" ht="21.75" customHeight="1" x14ac:dyDescent="0.3">
      <c r="A677" s="542"/>
      <c r="B677" s="543" t="s">
        <v>259</v>
      </c>
      <c r="C677" s="544"/>
      <c r="D677" s="544"/>
      <c r="E677" s="544"/>
      <c r="F677" s="544"/>
      <c r="G677" s="545"/>
      <c r="H677" s="546" t="s">
        <v>122</v>
      </c>
      <c r="I677" s="547"/>
      <c r="J677" s="548">
        <f ca="1">IFERROR(__xludf.DUMMYFUNCTION("IMPORTRANGE(""https://docs.google.com/spreadsheets/d/1SX6NBoVAgQJ6U1MVXOaj8PK2l7WJ3RER9xtqwdhxkhw/edit#gid=346597447"",""นครปฐม!J572"")"),0)</f>
        <v>0</v>
      </c>
      <c r="K677" s="549"/>
      <c r="L677" s="550"/>
      <c r="M677" s="550"/>
      <c r="N677" s="550"/>
      <c r="O677" s="549"/>
      <c r="P677" s="549"/>
    </row>
    <row r="678" spans="1:16" ht="21.75" customHeight="1" x14ac:dyDescent="0.25">
      <c r="A678" s="551"/>
      <c r="B678" s="551"/>
      <c r="C678" s="551"/>
      <c r="D678" s="551"/>
      <c r="E678" s="552"/>
      <c r="F678" s="552"/>
      <c r="G678" s="552"/>
      <c r="H678" s="552"/>
      <c r="I678" s="552"/>
      <c r="J678" s="552"/>
      <c r="K678" s="553"/>
      <c r="L678" s="554"/>
      <c r="M678" s="554"/>
      <c r="N678" s="554"/>
      <c r="O678" s="555"/>
      <c r="P678" s="555"/>
    </row>
    <row r="679" spans="1:16" ht="21.75" customHeight="1" x14ac:dyDescent="0.25">
      <c r="A679" s="551"/>
      <c r="B679" s="551"/>
      <c r="C679" s="551"/>
      <c r="D679" s="551"/>
      <c r="E679" s="552"/>
      <c r="F679" s="552"/>
      <c r="G679" s="552"/>
      <c r="H679" s="552"/>
      <c r="I679" s="552"/>
      <c r="J679" s="552"/>
      <c r="K679" s="553"/>
      <c r="L679" s="554"/>
      <c r="M679" s="554"/>
      <c r="N679" s="554"/>
      <c r="O679" s="555"/>
      <c r="P679" s="555"/>
    </row>
    <row r="680" spans="1:16" ht="21.75" customHeight="1" x14ac:dyDescent="0.25">
      <c r="A680" s="551"/>
      <c r="B680" s="551"/>
      <c r="C680" s="551"/>
      <c r="D680" s="551"/>
      <c r="E680" s="552"/>
      <c r="F680" s="552"/>
      <c r="G680" s="552"/>
      <c r="H680" s="552"/>
      <c r="I680" s="552"/>
      <c r="J680" s="552"/>
      <c r="K680" s="553"/>
      <c r="L680" s="554"/>
      <c r="M680" s="554"/>
      <c r="N680" s="554"/>
      <c r="O680" s="555"/>
      <c r="P680" s="555"/>
    </row>
    <row r="681" spans="1:16" ht="21.75" customHeight="1" x14ac:dyDescent="0.25">
      <c r="A681" s="551"/>
      <c r="B681" s="551"/>
      <c r="C681" s="551"/>
      <c r="D681" s="551"/>
      <c r="E681" s="552"/>
      <c r="F681" s="552"/>
      <c r="G681" s="552"/>
      <c r="H681" s="552"/>
      <c r="I681" s="552"/>
      <c r="J681" s="552"/>
      <c r="K681" s="553"/>
      <c r="L681" s="554"/>
      <c r="M681" s="554"/>
      <c r="N681" s="554"/>
      <c r="O681" s="555"/>
      <c r="P681" s="555"/>
    </row>
    <row r="682" spans="1:16" ht="21.75" customHeight="1" x14ac:dyDescent="0.25">
      <c r="A682" s="551"/>
      <c r="B682" s="551"/>
      <c r="C682" s="551"/>
      <c r="D682" s="551"/>
      <c r="E682" s="552"/>
      <c r="F682" s="552"/>
      <c r="G682" s="552"/>
      <c r="H682" s="552"/>
      <c r="I682" s="552"/>
      <c r="J682" s="552"/>
      <c r="K682" s="553"/>
      <c r="L682" s="554"/>
      <c r="M682" s="554"/>
      <c r="N682" s="554"/>
      <c r="O682" s="555"/>
      <c r="P682" s="555"/>
    </row>
    <row r="683" spans="1:16" ht="21.75" customHeight="1" x14ac:dyDescent="0.25">
      <c r="A683" s="551"/>
      <c r="B683" s="551"/>
      <c r="C683" s="551"/>
      <c r="D683" s="551"/>
      <c r="E683" s="552"/>
      <c r="F683" s="552"/>
      <c r="G683" s="552"/>
      <c r="H683" s="552"/>
      <c r="I683" s="552"/>
      <c r="J683" s="552"/>
      <c r="K683" s="553"/>
      <c r="L683" s="554"/>
      <c r="M683" s="554"/>
      <c r="N683" s="554"/>
      <c r="O683" s="555"/>
      <c r="P683" s="555"/>
    </row>
    <row r="684" spans="1:16" ht="21.75" customHeight="1" x14ac:dyDescent="0.25">
      <c r="A684" s="551"/>
      <c r="B684" s="551"/>
      <c r="C684" s="551"/>
      <c r="D684" s="551"/>
      <c r="E684" s="552"/>
      <c r="F684" s="552"/>
      <c r="G684" s="552"/>
      <c r="H684" s="552"/>
      <c r="I684" s="552"/>
      <c r="J684" s="552"/>
      <c r="K684" s="553"/>
      <c r="L684" s="554"/>
      <c r="M684" s="554"/>
      <c r="N684" s="554"/>
      <c r="O684" s="555"/>
      <c r="P684" s="555"/>
    </row>
    <row r="685" spans="1:16" ht="21.75" customHeight="1" x14ac:dyDescent="0.25">
      <c r="A685" s="551"/>
      <c r="B685" s="551"/>
      <c r="C685" s="551"/>
      <c r="D685" s="551"/>
      <c r="E685" s="552"/>
      <c r="F685" s="552"/>
      <c r="G685" s="552"/>
      <c r="H685" s="552"/>
      <c r="I685" s="552"/>
      <c r="J685" s="552"/>
      <c r="K685" s="553"/>
      <c r="L685" s="554"/>
      <c r="M685" s="554"/>
      <c r="N685" s="554"/>
      <c r="O685" s="555"/>
      <c r="P685" s="555"/>
    </row>
    <row r="686" spans="1:16" ht="21.75" customHeight="1" x14ac:dyDescent="0.25">
      <c r="A686" s="551"/>
      <c r="B686" s="551"/>
      <c r="C686" s="551"/>
      <c r="D686" s="551"/>
      <c r="E686" s="552"/>
      <c r="F686" s="552"/>
      <c r="G686" s="552"/>
      <c r="H686" s="552"/>
      <c r="I686" s="552"/>
      <c r="J686" s="552"/>
      <c r="K686" s="553"/>
      <c r="L686" s="554"/>
      <c r="M686" s="554"/>
      <c r="N686" s="554"/>
      <c r="O686" s="555"/>
      <c r="P686" s="555"/>
    </row>
    <row r="687" spans="1:16" ht="21.75" customHeight="1" x14ac:dyDescent="0.25">
      <c r="A687" s="551"/>
      <c r="B687" s="551"/>
      <c r="C687" s="551"/>
      <c r="D687" s="551"/>
      <c r="E687" s="552"/>
      <c r="F687" s="552"/>
      <c r="G687" s="552"/>
      <c r="H687" s="552"/>
      <c r="I687" s="552"/>
      <c r="J687" s="552"/>
      <c r="K687" s="553"/>
      <c r="L687" s="554"/>
      <c r="M687" s="554"/>
      <c r="N687" s="554"/>
      <c r="O687" s="555"/>
      <c r="P687" s="555"/>
    </row>
    <row r="688" spans="1:16" ht="21.75" customHeight="1" x14ac:dyDescent="0.25">
      <c r="A688" s="551"/>
      <c r="B688" s="551"/>
      <c r="C688" s="551"/>
      <c r="D688" s="551"/>
      <c r="E688" s="552"/>
      <c r="F688" s="552"/>
      <c r="G688" s="552"/>
      <c r="H688" s="552"/>
      <c r="I688" s="552"/>
      <c r="J688" s="552"/>
      <c r="K688" s="553"/>
      <c r="L688" s="554"/>
      <c r="M688" s="554"/>
      <c r="N688" s="554"/>
      <c r="O688" s="555"/>
      <c r="P688" s="555"/>
    </row>
    <row r="689" spans="1:16" ht="21.75" customHeight="1" x14ac:dyDescent="0.25">
      <c r="A689" s="551"/>
      <c r="B689" s="551"/>
      <c r="C689" s="551"/>
      <c r="D689" s="551"/>
      <c r="E689" s="552"/>
      <c r="F689" s="552"/>
      <c r="G689" s="552"/>
      <c r="H689" s="552"/>
      <c r="I689" s="552"/>
      <c r="J689" s="552"/>
      <c r="K689" s="553"/>
      <c r="L689" s="554"/>
      <c r="M689" s="554"/>
      <c r="N689" s="554"/>
      <c r="O689" s="555"/>
      <c r="P689" s="555"/>
    </row>
    <row r="690" spans="1:16" ht="21.75" customHeight="1" x14ac:dyDescent="0.25">
      <c r="A690" s="551"/>
      <c r="B690" s="551"/>
      <c r="C690" s="551"/>
      <c r="D690" s="551"/>
      <c r="E690" s="552"/>
      <c r="F690" s="552"/>
      <c r="G690" s="552"/>
      <c r="H690" s="552"/>
      <c r="I690" s="552"/>
      <c r="J690" s="552"/>
      <c r="K690" s="553"/>
      <c r="L690" s="554"/>
      <c r="M690" s="554"/>
      <c r="N690" s="554"/>
      <c r="O690" s="555"/>
      <c r="P690" s="555"/>
    </row>
    <row r="691" spans="1:16" ht="21.75" customHeight="1" x14ac:dyDescent="0.25">
      <c r="A691" s="551"/>
      <c r="B691" s="551"/>
      <c r="C691" s="551"/>
      <c r="D691" s="551"/>
      <c r="E691" s="552"/>
      <c r="F691" s="552"/>
      <c r="G691" s="552"/>
      <c r="H691" s="552"/>
      <c r="I691" s="552"/>
      <c r="J691" s="552"/>
      <c r="K691" s="553"/>
      <c r="L691" s="554"/>
      <c r="M691" s="554"/>
      <c r="N691" s="554"/>
      <c r="O691" s="555"/>
      <c r="P691" s="555"/>
    </row>
    <row r="692" spans="1:16" ht="21.75" customHeight="1" x14ac:dyDescent="0.25">
      <c r="A692" s="551"/>
      <c r="B692" s="551"/>
      <c r="C692" s="551"/>
      <c r="D692" s="551"/>
      <c r="E692" s="552"/>
      <c r="F692" s="552"/>
      <c r="G692" s="552"/>
      <c r="H692" s="552"/>
      <c r="I692" s="552"/>
      <c r="J692" s="552"/>
      <c r="K692" s="553"/>
      <c r="L692" s="554"/>
      <c r="M692" s="554"/>
      <c r="N692" s="554"/>
      <c r="O692" s="555"/>
      <c r="P692" s="555"/>
    </row>
    <row r="693" spans="1:16" ht="21.75" customHeight="1" x14ac:dyDescent="0.25">
      <c r="A693" s="551"/>
      <c r="B693" s="551"/>
      <c r="C693" s="551"/>
      <c r="D693" s="551"/>
      <c r="E693" s="552"/>
      <c r="F693" s="552"/>
      <c r="G693" s="552"/>
      <c r="H693" s="552"/>
      <c r="I693" s="552"/>
      <c r="J693" s="552"/>
      <c r="K693" s="553"/>
      <c r="L693" s="554"/>
      <c r="M693" s="554"/>
      <c r="N693" s="554"/>
      <c r="O693" s="555"/>
      <c r="P693" s="555"/>
    </row>
    <row r="694" spans="1:16" ht="21.75" customHeight="1" x14ac:dyDescent="0.25">
      <c r="A694" s="551"/>
      <c r="B694" s="551"/>
      <c r="C694" s="551"/>
      <c r="D694" s="551"/>
      <c r="E694" s="552"/>
      <c r="F694" s="552"/>
      <c r="G694" s="552"/>
      <c r="H694" s="552"/>
      <c r="I694" s="552"/>
      <c r="J694" s="552"/>
      <c r="K694" s="553"/>
      <c r="L694" s="554"/>
      <c r="M694" s="554"/>
      <c r="N694" s="554"/>
      <c r="O694" s="555"/>
      <c r="P694" s="555"/>
    </row>
    <row r="695" spans="1:16" ht="21.75" customHeight="1" x14ac:dyDescent="0.25">
      <c r="A695" s="551"/>
      <c r="B695" s="551"/>
      <c r="C695" s="551"/>
      <c r="D695" s="551"/>
      <c r="E695" s="552"/>
      <c r="F695" s="552"/>
      <c r="G695" s="552"/>
      <c r="H695" s="552"/>
      <c r="I695" s="552"/>
      <c r="J695" s="552"/>
      <c r="K695" s="553"/>
      <c r="L695" s="554"/>
      <c r="M695" s="554"/>
      <c r="N695" s="554"/>
      <c r="O695" s="555"/>
      <c r="P695" s="555"/>
    </row>
    <row r="696" spans="1:16" ht="21.75" customHeight="1" x14ac:dyDescent="0.25">
      <c r="A696" s="551"/>
      <c r="B696" s="551"/>
      <c r="C696" s="551"/>
      <c r="D696" s="551"/>
      <c r="E696" s="552"/>
      <c r="F696" s="552"/>
      <c r="G696" s="552"/>
      <c r="H696" s="552"/>
      <c r="I696" s="552"/>
      <c r="J696" s="552"/>
      <c r="K696" s="553"/>
      <c r="L696" s="554"/>
      <c r="M696" s="554"/>
      <c r="N696" s="554"/>
      <c r="O696" s="555"/>
      <c r="P696" s="555"/>
    </row>
    <row r="697" spans="1:16" ht="21.75" customHeight="1" x14ac:dyDescent="0.25">
      <c r="A697" s="551"/>
      <c r="B697" s="551"/>
      <c r="C697" s="551"/>
      <c r="D697" s="551"/>
      <c r="E697" s="552"/>
      <c r="F697" s="552"/>
      <c r="G697" s="552"/>
      <c r="H697" s="552"/>
      <c r="I697" s="552"/>
      <c r="J697" s="552"/>
      <c r="K697" s="553"/>
      <c r="L697" s="554"/>
      <c r="M697" s="554"/>
      <c r="N697" s="554"/>
      <c r="O697" s="555"/>
      <c r="P697" s="555"/>
    </row>
    <row r="698" spans="1:16" ht="21.75" customHeight="1" x14ac:dyDescent="0.25">
      <c r="A698" s="551"/>
      <c r="B698" s="551"/>
      <c r="C698" s="551"/>
      <c r="D698" s="551"/>
      <c r="E698" s="552"/>
      <c r="F698" s="552"/>
      <c r="G698" s="552"/>
      <c r="H698" s="552"/>
      <c r="I698" s="552"/>
      <c r="J698" s="552"/>
      <c r="K698" s="553"/>
      <c r="L698" s="554"/>
      <c r="M698" s="554"/>
      <c r="N698" s="554"/>
      <c r="O698" s="555"/>
      <c r="P698" s="555"/>
    </row>
    <row r="699" spans="1:16" ht="21.75" customHeight="1" x14ac:dyDescent="0.25">
      <c r="A699" s="551"/>
      <c r="B699" s="551"/>
      <c r="C699" s="551"/>
      <c r="D699" s="551"/>
      <c r="E699" s="552"/>
      <c r="F699" s="552"/>
      <c r="G699" s="552"/>
      <c r="H699" s="552"/>
      <c r="I699" s="552"/>
      <c r="J699" s="552"/>
      <c r="K699" s="553"/>
      <c r="L699" s="554"/>
      <c r="M699" s="554"/>
      <c r="N699" s="554"/>
      <c r="O699" s="555"/>
      <c r="P699" s="555"/>
    </row>
    <row r="700" spans="1:16" ht="21.75" customHeight="1" x14ac:dyDescent="0.25">
      <c r="A700" s="551"/>
      <c r="B700" s="551"/>
      <c r="C700" s="551"/>
      <c r="D700" s="551"/>
      <c r="E700" s="552"/>
      <c r="F700" s="552"/>
      <c r="G700" s="552"/>
      <c r="H700" s="552"/>
      <c r="I700" s="552"/>
      <c r="J700" s="552"/>
      <c r="K700" s="553"/>
      <c r="L700" s="554"/>
      <c r="M700" s="554"/>
      <c r="N700" s="554"/>
      <c r="O700" s="555"/>
      <c r="P700" s="555"/>
    </row>
    <row r="701" spans="1:16" ht="21.75" customHeight="1" x14ac:dyDescent="0.25">
      <c r="A701" s="551"/>
      <c r="B701" s="551"/>
      <c r="C701" s="551"/>
      <c r="D701" s="551"/>
      <c r="E701" s="552"/>
      <c r="F701" s="552"/>
      <c r="G701" s="552"/>
      <c r="H701" s="552"/>
      <c r="I701" s="552"/>
      <c r="J701" s="552"/>
      <c r="K701" s="553"/>
      <c r="L701" s="554"/>
      <c r="M701" s="554"/>
      <c r="N701" s="554"/>
      <c r="O701" s="555"/>
      <c r="P701" s="555"/>
    </row>
    <row r="702" spans="1:16" ht="21.75" customHeight="1" x14ac:dyDescent="0.25">
      <c r="A702" s="551"/>
      <c r="B702" s="551"/>
      <c r="C702" s="551"/>
      <c r="D702" s="551"/>
      <c r="E702" s="552"/>
      <c r="F702" s="552"/>
      <c r="G702" s="552"/>
      <c r="H702" s="552"/>
      <c r="I702" s="552"/>
      <c r="J702" s="552"/>
      <c r="K702" s="553"/>
      <c r="L702" s="554"/>
      <c r="M702" s="554"/>
      <c r="N702" s="554"/>
      <c r="O702" s="555"/>
      <c r="P702" s="555"/>
    </row>
    <row r="703" spans="1:16" ht="21.75" customHeight="1" x14ac:dyDescent="0.25">
      <c r="A703" s="551"/>
      <c r="B703" s="551"/>
      <c r="C703" s="551"/>
      <c r="D703" s="551"/>
      <c r="E703" s="552"/>
      <c r="F703" s="552"/>
      <c r="G703" s="552"/>
      <c r="H703" s="552"/>
      <c r="I703" s="552"/>
      <c r="J703" s="552"/>
      <c r="K703" s="553"/>
      <c r="L703" s="554"/>
      <c r="M703" s="554"/>
      <c r="N703" s="554"/>
      <c r="O703" s="555"/>
      <c r="P703" s="555"/>
    </row>
    <row r="704" spans="1:16" ht="21.75" customHeight="1" x14ac:dyDescent="0.25">
      <c r="A704" s="551"/>
      <c r="B704" s="551"/>
      <c r="C704" s="551"/>
      <c r="D704" s="551"/>
      <c r="E704" s="552"/>
      <c r="F704" s="552"/>
      <c r="G704" s="552"/>
      <c r="H704" s="552"/>
      <c r="I704" s="552"/>
      <c r="J704" s="552"/>
      <c r="K704" s="553"/>
      <c r="L704" s="554"/>
      <c r="M704" s="554"/>
      <c r="N704" s="554"/>
      <c r="O704" s="555"/>
      <c r="P704" s="555"/>
    </row>
    <row r="705" spans="1:16" ht="21.75" customHeight="1" x14ac:dyDescent="0.25">
      <c r="A705" s="551"/>
      <c r="B705" s="551"/>
      <c r="C705" s="551"/>
      <c r="D705" s="551"/>
      <c r="E705" s="552"/>
      <c r="F705" s="552"/>
      <c r="G705" s="552"/>
      <c r="H705" s="552"/>
      <c r="I705" s="552"/>
      <c r="J705" s="552"/>
      <c r="K705" s="553"/>
      <c r="L705" s="554"/>
      <c r="M705" s="554"/>
      <c r="N705" s="554"/>
      <c r="O705" s="555"/>
      <c r="P705" s="555"/>
    </row>
    <row r="706" spans="1:16" ht="21.75" customHeight="1" x14ac:dyDescent="0.25">
      <c r="A706" s="551"/>
      <c r="B706" s="551"/>
      <c r="C706" s="551"/>
      <c r="D706" s="551"/>
      <c r="E706" s="552"/>
      <c r="F706" s="552"/>
      <c r="G706" s="552"/>
      <c r="H706" s="552"/>
      <c r="I706" s="552"/>
      <c r="J706" s="552"/>
      <c r="K706" s="553"/>
      <c r="L706" s="554"/>
      <c r="M706" s="554"/>
      <c r="N706" s="554"/>
      <c r="O706" s="555"/>
      <c r="P706" s="555"/>
    </row>
    <row r="707" spans="1:16" ht="21.75" customHeight="1" x14ac:dyDescent="0.25">
      <c r="A707" s="551"/>
      <c r="B707" s="551"/>
      <c r="C707" s="551"/>
      <c r="D707" s="551"/>
      <c r="E707" s="552"/>
      <c r="F707" s="552"/>
      <c r="G707" s="552"/>
      <c r="H707" s="552"/>
      <c r="I707" s="552"/>
      <c r="J707" s="552"/>
      <c r="K707" s="553"/>
      <c r="L707" s="554"/>
      <c r="M707" s="554"/>
      <c r="N707" s="554"/>
      <c r="O707" s="555"/>
      <c r="P707" s="555"/>
    </row>
    <row r="708" spans="1:16" ht="21.75" customHeight="1" x14ac:dyDescent="0.25">
      <c r="A708" s="551"/>
      <c r="B708" s="551"/>
      <c r="C708" s="551"/>
      <c r="D708" s="551"/>
      <c r="E708" s="552"/>
      <c r="F708" s="552"/>
      <c r="G708" s="552"/>
      <c r="H708" s="552"/>
      <c r="I708" s="552"/>
      <c r="J708" s="552"/>
      <c r="K708" s="553"/>
      <c r="L708" s="554"/>
      <c r="M708" s="554"/>
      <c r="N708" s="554"/>
      <c r="O708" s="555"/>
      <c r="P708" s="555"/>
    </row>
    <row r="709" spans="1:16" ht="21.75" customHeight="1" x14ac:dyDescent="0.25">
      <c r="A709" s="551"/>
      <c r="B709" s="551"/>
      <c r="C709" s="551"/>
      <c r="D709" s="551"/>
      <c r="E709" s="552"/>
      <c r="F709" s="552"/>
      <c r="G709" s="552"/>
      <c r="H709" s="552"/>
      <c r="I709" s="552"/>
      <c r="J709" s="552"/>
      <c r="K709" s="553"/>
      <c r="L709" s="554"/>
      <c r="M709" s="554"/>
      <c r="N709" s="554"/>
      <c r="O709" s="555"/>
      <c r="P709" s="555"/>
    </row>
    <row r="710" spans="1:16" ht="21.75" customHeight="1" x14ac:dyDescent="0.25">
      <c r="A710" s="551"/>
      <c r="B710" s="551"/>
      <c r="C710" s="551"/>
      <c r="D710" s="551"/>
      <c r="E710" s="552"/>
      <c r="F710" s="552"/>
      <c r="G710" s="552"/>
      <c r="H710" s="552"/>
      <c r="I710" s="552"/>
      <c r="J710" s="552"/>
      <c r="K710" s="553"/>
      <c r="L710" s="554"/>
      <c r="M710" s="554"/>
      <c r="N710" s="554"/>
      <c r="O710" s="555"/>
      <c r="P710" s="555"/>
    </row>
    <row r="711" spans="1:16" ht="21.75" customHeight="1" x14ac:dyDescent="0.25">
      <c r="A711" s="551"/>
      <c r="B711" s="551"/>
      <c r="C711" s="551"/>
      <c r="D711" s="551"/>
      <c r="E711" s="552"/>
      <c r="F711" s="552"/>
      <c r="G711" s="552"/>
      <c r="H711" s="552"/>
      <c r="I711" s="552"/>
      <c r="J711" s="552"/>
      <c r="K711" s="553"/>
      <c r="L711" s="554"/>
      <c r="M711" s="554"/>
      <c r="N711" s="554"/>
      <c r="O711" s="555"/>
      <c r="P711" s="555"/>
    </row>
    <row r="712" spans="1:16" ht="21.75" customHeight="1" x14ac:dyDescent="0.25">
      <c r="A712" s="551"/>
      <c r="B712" s="551"/>
      <c r="C712" s="551"/>
      <c r="D712" s="551"/>
      <c r="E712" s="552"/>
      <c r="F712" s="552"/>
      <c r="G712" s="552"/>
      <c r="H712" s="552"/>
      <c r="I712" s="552"/>
      <c r="J712" s="552"/>
      <c r="K712" s="553"/>
      <c r="L712" s="554"/>
      <c r="M712" s="554"/>
      <c r="N712" s="554"/>
      <c r="O712" s="555"/>
      <c r="P712" s="555"/>
    </row>
    <row r="713" spans="1:16" ht="21.75" customHeight="1" x14ac:dyDescent="0.25">
      <c r="A713" s="551"/>
      <c r="B713" s="551"/>
      <c r="C713" s="551"/>
      <c r="D713" s="551"/>
      <c r="E713" s="552"/>
      <c r="F713" s="552"/>
      <c r="G713" s="552"/>
      <c r="H713" s="552"/>
      <c r="I713" s="552"/>
      <c r="J713" s="552"/>
      <c r="K713" s="553"/>
      <c r="L713" s="554"/>
      <c r="M713" s="554"/>
      <c r="N713" s="554"/>
      <c r="O713" s="555"/>
      <c r="P713" s="555"/>
    </row>
    <row r="714" spans="1:16" ht="21.75" customHeight="1" x14ac:dyDescent="0.25">
      <c r="A714" s="551"/>
      <c r="B714" s="551"/>
      <c r="C714" s="551"/>
      <c r="D714" s="551"/>
      <c r="E714" s="552"/>
      <c r="F714" s="552"/>
      <c r="G714" s="552"/>
      <c r="H714" s="552"/>
      <c r="I714" s="552"/>
      <c r="J714" s="552"/>
      <c r="K714" s="553"/>
      <c r="L714" s="554"/>
      <c r="M714" s="554"/>
      <c r="N714" s="554"/>
      <c r="O714" s="555"/>
      <c r="P714" s="555"/>
    </row>
    <row r="715" spans="1:16" ht="21.75" customHeight="1" x14ac:dyDescent="0.25">
      <c r="A715" s="551"/>
      <c r="B715" s="551"/>
      <c r="C715" s="551"/>
      <c r="D715" s="551"/>
      <c r="E715" s="552"/>
      <c r="F715" s="552"/>
      <c r="G715" s="552"/>
      <c r="H715" s="552"/>
      <c r="I715" s="552"/>
      <c r="J715" s="552"/>
      <c r="K715" s="553"/>
      <c r="L715" s="554"/>
      <c r="M715" s="554"/>
      <c r="N715" s="554"/>
      <c r="O715" s="555"/>
      <c r="P715" s="555"/>
    </row>
    <row r="716" spans="1:16" ht="21.75" customHeight="1" x14ac:dyDescent="0.25">
      <c r="A716" s="551"/>
      <c r="B716" s="551"/>
      <c r="C716" s="551"/>
      <c r="D716" s="551"/>
      <c r="E716" s="552"/>
      <c r="F716" s="552"/>
      <c r="G716" s="552"/>
      <c r="H716" s="552"/>
      <c r="I716" s="552"/>
      <c r="J716" s="552"/>
      <c r="K716" s="553"/>
      <c r="L716" s="554"/>
      <c r="M716" s="554"/>
      <c r="N716" s="554"/>
      <c r="O716" s="555"/>
      <c r="P716" s="555"/>
    </row>
    <row r="717" spans="1:16" ht="21.75" customHeight="1" x14ac:dyDescent="0.25">
      <c r="A717" s="551"/>
      <c r="B717" s="551"/>
      <c r="C717" s="551"/>
      <c r="D717" s="551"/>
      <c r="E717" s="552"/>
      <c r="F717" s="552"/>
      <c r="G717" s="552"/>
      <c r="H717" s="552"/>
      <c r="I717" s="552"/>
      <c r="J717" s="552"/>
      <c r="K717" s="553"/>
      <c r="L717" s="554"/>
      <c r="M717" s="554"/>
      <c r="N717" s="554"/>
      <c r="O717" s="555"/>
      <c r="P717" s="555"/>
    </row>
    <row r="718" spans="1:16" ht="21.75" customHeight="1" x14ac:dyDescent="0.25">
      <c r="A718" s="551"/>
      <c r="B718" s="551"/>
      <c r="C718" s="551"/>
      <c r="D718" s="551"/>
      <c r="E718" s="552"/>
      <c r="F718" s="552"/>
      <c r="G718" s="552"/>
      <c r="H718" s="552"/>
      <c r="I718" s="552"/>
      <c r="J718" s="552"/>
      <c r="K718" s="553"/>
      <c r="L718" s="554"/>
      <c r="M718" s="554"/>
      <c r="N718" s="554"/>
      <c r="O718" s="555"/>
      <c r="P718" s="555"/>
    </row>
    <row r="719" spans="1:16" ht="21.75" customHeight="1" x14ac:dyDescent="0.25">
      <c r="A719" s="551"/>
      <c r="B719" s="551"/>
      <c r="C719" s="551"/>
      <c r="D719" s="551"/>
      <c r="E719" s="552"/>
      <c r="F719" s="552"/>
      <c r="G719" s="552"/>
      <c r="H719" s="552"/>
      <c r="I719" s="552"/>
      <c r="J719" s="552"/>
      <c r="K719" s="553"/>
      <c r="L719" s="554"/>
      <c r="M719" s="554"/>
      <c r="N719" s="554"/>
      <c r="O719" s="555"/>
      <c r="P719" s="555"/>
    </row>
    <row r="720" spans="1:16" ht="21.75" customHeight="1" x14ac:dyDescent="0.25">
      <c r="A720" s="551"/>
      <c r="B720" s="551"/>
      <c r="C720" s="551"/>
      <c r="D720" s="551"/>
      <c r="E720" s="552"/>
      <c r="F720" s="552"/>
      <c r="G720" s="552"/>
      <c r="H720" s="552"/>
      <c r="I720" s="552"/>
      <c r="J720" s="552"/>
      <c r="K720" s="553"/>
      <c r="L720" s="554"/>
      <c r="M720" s="554"/>
      <c r="N720" s="554"/>
      <c r="O720" s="555"/>
      <c r="P720" s="555"/>
    </row>
    <row r="721" spans="1:16" ht="21.75" customHeight="1" x14ac:dyDescent="0.25">
      <c r="A721" s="551"/>
      <c r="B721" s="551"/>
      <c r="C721" s="551"/>
      <c r="D721" s="551"/>
      <c r="E721" s="552"/>
      <c r="F721" s="552"/>
      <c r="G721" s="552"/>
      <c r="H721" s="552"/>
      <c r="I721" s="552"/>
      <c r="J721" s="552"/>
      <c r="K721" s="553"/>
      <c r="L721" s="554"/>
      <c r="M721" s="554"/>
      <c r="N721" s="554"/>
      <c r="O721" s="555"/>
      <c r="P721" s="555"/>
    </row>
    <row r="722" spans="1:16" ht="21.75" customHeight="1" x14ac:dyDescent="0.25">
      <c r="A722" s="551"/>
      <c r="B722" s="551"/>
      <c r="C722" s="551"/>
      <c r="D722" s="551"/>
      <c r="E722" s="552"/>
      <c r="F722" s="552"/>
      <c r="G722" s="552"/>
      <c r="H722" s="552"/>
      <c r="I722" s="552"/>
      <c r="J722" s="552"/>
      <c r="K722" s="553"/>
      <c r="L722" s="554"/>
      <c r="M722" s="554"/>
      <c r="N722" s="554"/>
      <c r="O722" s="555"/>
      <c r="P722" s="555"/>
    </row>
    <row r="723" spans="1:16" ht="21.75" customHeight="1" x14ac:dyDescent="0.25">
      <c r="A723" s="551"/>
      <c r="B723" s="551"/>
      <c r="C723" s="551"/>
      <c r="D723" s="551"/>
      <c r="E723" s="552"/>
      <c r="F723" s="552"/>
      <c r="G723" s="552"/>
      <c r="H723" s="552"/>
      <c r="I723" s="552"/>
      <c r="J723" s="552"/>
      <c r="K723" s="553"/>
      <c r="L723" s="554"/>
      <c r="M723" s="554"/>
      <c r="N723" s="554"/>
      <c r="O723" s="555"/>
      <c r="P723" s="555"/>
    </row>
    <row r="724" spans="1:16" ht="21.75" customHeight="1" x14ac:dyDescent="0.25">
      <c r="A724" s="551"/>
      <c r="B724" s="551"/>
      <c r="C724" s="551"/>
      <c r="D724" s="551"/>
      <c r="E724" s="552"/>
      <c r="F724" s="552"/>
      <c r="G724" s="552"/>
      <c r="H724" s="552"/>
      <c r="I724" s="552"/>
      <c r="J724" s="552"/>
      <c r="K724" s="553"/>
      <c r="L724" s="554"/>
      <c r="M724" s="554"/>
      <c r="N724" s="554"/>
      <c r="O724" s="555"/>
      <c r="P724" s="555"/>
    </row>
    <row r="725" spans="1:16" ht="21.75" customHeight="1" x14ac:dyDescent="0.25">
      <c r="A725" s="551"/>
      <c r="B725" s="551"/>
      <c r="C725" s="551"/>
      <c r="D725" s="551"/>
      <c r="E725" s="552"/>
      <c r="F725" s="552"/>
      <c r="G725" s="552"/>
      <c r="H725" s="552"/>
      <c r="I725" s="552"/>
      <c r="J725" s="552"/>
      <c r="K725" s="553"/>
      <c r="L725" s="554"/>
      <c r="M725" s="554"/>
      <c r="N725" s="554"/>
      <c r="O725" s="555"/>
      <c r="P725" s="555"/>
    </row>
    <row r="726" spans="1:16" ht="21.75" customHeight="1" x14ac:dyDescent="0.25">
      <c r="A726" s="551"/>
      <c r="B726" s="551"/>
      <c r="C726" s="551"/>
      <c r="D726" s="551"/>
      <c r="E726" s="552"/>
      <c r="F726" s="552"/>
      <c r="G726" s="552"/>
      <c r="H726" s="552"/>
      <c r="I726" s="552"/>
      <c r="J726" s="552"/>
      <c r="K726" s="553"/>
      <c r="L726" s="554"/>
      <c r="M726" s="554"/>
      <c r="N726" s="554"/>
      <c r="O726" s="555"/>
      <c r="P726" s="555"/>
    </row>
    <row r="727" spans="1:16" ht="21.75" customHeight="1" x14ac:dyDescent="0.25">
      <c r="A727" s="551"/>
      <c r="B727" s="551"/>
      <c r="C727" s="551"/>
      <c r="D727" s="551"/>
      <c r="E727" s="552"/>
      <c r="F727" s="552"/>
      <c r="G727" s="552"/>
      <c r="H727" s="552"/>
      <c r="I727" s="552"/>
      <c r="J727" s="552"/>
      <c r="K727" s="553"/>
      <c r="L727" s="554"/>
      <c r="M727" s="554"/>
      <c r="N727" s="554"/>
      <c r="O727" s="555"/>
      <c r="P727" s="555"/>
    </row>
    <row r="728" spans="1:16" ht="21.75" customHeight="1" x14ac:dyDescent="0.25">
      <c r="A728" s="551"/>
      <c r="B728" s="551"/>
      <c r="C728" s="551"/>
      <c r="D728" s="551"/>
      <c r="E728" s="552"/>
      <c r="F728" s="552"/>
      <c r="G728" s="552"/>
      <c r="H728" s="552"/>
      <c r="I728" s="552"/>
      <c r="J728" s="552"/>
      <c r="K728" s="553"/>
      <c r="L728" s="554"/>
      <c r="M728" s="554"/>
      <c r="N728" s="554"/>
      <c r="O728" s="555"/>
      <c r="P728" s="555"/>
    </row>
    <row r="729" spans="1:16" ht="21.75" customHeight="1" x14ac:dyDescent="0.25">
      <c r="A729" s="551"/>
      <c r="B729" s="551"/>
      <c r="C729" s="551"/>
      <c r="D729" s="551"/>
      <c r="E729" s="552"/>
      <c r="F729" s="552"/>
      <c r="G729" s="552"/>
      <c r="H729" s="552"/>
      <c r="I729" s="552"/>
      <c r="J729" s="552"/>
      <c r="K729" s="553"/>
      <c r="L729" s="554"/>
      <c r="M729" s="554"/>
      <c r="N729" s="554"/>
      <c r="O729" s="555"/>
      <c r="P729" s="555"/>
    </row>
    <row r="730" spans="1:16" ht="21.75" customHeight="1" x14ac:dyDescent="0.25">
      <c r="A730" s="551"/>
      <c r="B730" s="551"/>
      <c r="C730" s="551"/>
      <c r="D730" s="551"/>
      <c r="E730" s="552"/>
      <c r="F730" s="552"/>
      <c r="G730" s="552"/>
      <c r="H730" s="552"/>
      <c r="I730" s="552"/>
      <c r="J730" s="552"/>
      <c r="K730" s="553"/>
      <c r="L730" s="554"/>
      <c r="M730" s="554"/>
      <c r="N730" s="554"/>
      <c r="O730" s="555"/>
      <c r="P730" s="555"/>
    </row>
    <row r="731" spans="1:16" ht="21.75" customHeight="1" x14ac:dyDescent="0.25">
      <c r="A731" s="551"/>
      <c r="B731" s="551"/>
      <c r="C731" s="551"/>
      <c r="D731" s="551"/>
      <c r="E731" s="552"/>
      <c r="F731" s="552"/>
      <c r="G731" s="552"/>
      <c r="H731" s="552"/>
      <c r="I731" s="552"/>
      <c r="J731" s="552"/>
      <c r="K731" s="553"/>
      <c r="L731" s="554"/>
      <c r="M731" s="554"/>
      <c r="N731" s="554"/>
      <c r="O731" s="555"/>
      <c r="P731" s="555"/>
    </row>
    <row r="732" spans="1:16" ht="21.75" customHeight="1" x14ac:dyDescent="0.25">
      <c r="A732" s="551"/>
      <c r="B732" s="551"/>
      <c r="C732" s="551"/>
      <c r="D732" s="551"/>
      <c r="E732" s="552"/>
      <c r="F732" s="552"/>
      <c r="G732" s="552"/>
      <c r="H732" s="552"/>
      <c r="I732" s="552"/>
      <c r="J732" s="552"/>
      <c r="K732" s="553"/>
      <c r="L732" s="554"/>
      <c r="M732" s="554"/>
      <c r="N732" s="554"/>
      <c r="O732" s="555"/>
      <c r="P732" s="555"/>
    </row>
    <row r="733" spans="1:16" ht="21.75" customHeight="1" x14ac:dyDescent="0.25">
      <c r="A733" s="551"/>
      <c r="B733" s="551"/>
      <c r="C733" s="551"/>
      <c r="D733" s="551"/>
      <c r="E733" s="552"/>
      <c r="F733" s="552"/>
      <c r="G733" s="552"/>
      <c r="H733" s="552"/>
      <c r="I733" s="552"/>
      <c r="J733" s="552"/>
      <c r="K733" s="553"/>
      <c r="L733" s="554"/>
      <c r="M733" s="554"/>
      <c r="N733" s="554"/>
      <c r="O733" s="555"/>
      <c r="P733" s="555"/>
    </row>
    <row r="734" spans="1:16" ht="21.75" customHeight="1" x14ac:dyDescent="0.25">
      <c r="A734" s="551"/>
      <c r="B734" s="551"/>
      <c r="C734" s="551"/>
      <c r="D734" s="551"/>
      <c r="E734" s="552"/>
      <c r="F734" s="552"/>
      <c r="G734" s="552"/>
      <c r="H734" s="552"/>
      <c r="I734" s="552"/>
      <c r="J734" s="552"/>
      <c r="K734" s="553"/>
      <c r="L734" s="554"/>
      <c r="M734" s="554"/>
      <c r="N734" s="554"/>
      <c r="O734" s="555"/>
      <c r="P734" s="555"/>
    </row>
    <row r="735" spans="1:16" ht="21.75" customHeight="1" x14ac:dyDescent="0.25">
      <c r="A735" s="551"/>
      <c r="B735" s="551"/>
      <c r="C735" s="551"/>
      <c r="D735" s="551"/>
      <c r="E735" s="552"/>
      <c r="F735" s="552"/>
      <c r="G735" s="552"/>
      <c r="H735" s="552"/>
      <c r="I735" s="552"/>
      <c r="J735" s="552"/>
      <c r="K735" s="553"/>
      <c r="L735" s="554"/>
      <c r="M735" s="554"/>
      <c r="N735" s="554"/>
      <c r="O735" s="555"/>
      <c r="P735" s="555"/>
    </row>
    <row r="736" spans="1:16" ht="21.75" customHeight="1" x14ac:dyDescent="0.25">
      <c r="A736" s="551"/>
      <c r="B736" s="551"/>
      <c r="C736" s="551"/>
      <c r="D736" s="551"/>
      <c r="E736" s="552"/>
      <c r="F736" s="552"/>
      <c r="G736" s="552"/>
      <c r="H736" s="552"/>
      <c r="I736" s="552"/>
      <c r="J736" s="552"/>
      <c r="K736" s="553"/>
      <c r="L736" s="554"/>
      <c r="M736" s="554"/>
      <c r="N736" s="554"/>
      <c r="O736" s="555"/>
      <c r="P736" s="555"/>
    </row>
    <row r="737" spans="1:16" ht="21.75" customHeight="1" x14ac:dyDescent="0.25">
      <c r="A737" s="551"/>
      <c r="B737" s="551"/>
      <c r="C737" s="551"/>
      <c r="D737" s="551"/>
      <c r="E737" s="552"/>
      <c r="F737" s="552"/>
      <c r="G737" s="552"/>
      <c r="H737" s="552"/>
      <c r="I737" s="552"/>
      <c r="J737" s="552"/>
      <c r="K737" s="553"/>
      <c r="L737" s="554"/>
      <c r="M737" s="554"/>
      <c r="N737" s="554"/>
      <c r="O737" s="555"/>
      <c r="P737" s="555"/>
    </row>
    <row r="738" spans="1:16" ht="21.75" customHeight="1" x14ac:dyDescent="0.25">
      <c r="A738" s="551"/>
      <c r="B738" s="551"/>
      <c r="C738" s="551"/>
      <c r="D738" s="551"/>
      <c r="E738" s="552"/>
      <c r="F738" s="552"/>
      <c r="G738" s="552"/>
      <c r="H738" s="552"/>
      <c r="I738" s="552"/>
      <c r="J738" s="552"/>
      <c r="K738" s="553"/>
      <c r="L738" s="554"/>
      <c r="M738" s="554"/>
      <c r="N738" s="554"/>
      <c r="O738" s="555"/>
      <c r="P738" s="555"/>
    </row>
    <row r="739" spans="1:16" ht="21.75" customHeight="1" x14ac:dyDescent="0.25">
      <c r="A739" s="551"/>
      <c r="B739" s="551"/>
      <c r="C739" s="551"/>
      <c r="D739" s="551"/>
      <c r="E739" s="552"/>
      <c r="F739" s="552"/>
      <c r="G739" s="552"/>
      <c r="H739" s="552"/>
      <c r="I739" s="552"/>
      <c r="J739" s="552"/>
      <c r="K739" s="553"/>
      <c r="L739" s="554"/>
      <c r="M739" s="554"/>
      <c r="N739" s="554"/>
      <c r="O739" s="555"/>
      <c r="P739" s="555"/>
    </row>
    <row r="740" spans="1:16" ht="21.75" customHeight="1" x14ac:dyDescent="0.25">
      <c r="A740" s="551"/>
      <c r="B740" s="551"/>
      <c r="C740" s="551"/>
      <c r="D740" s="551"/>
      <c r="E740" s="552"/>
      <c r="F740" s="552"/>
      <c r="G740" s="552"/>
      <c r="H740" s="552"/>
      <c r="I740" s="552"/>
      <c r="J740" s="552"/>
      <c r="K740" s="553"/>
      <c r="L740" s="554"/>
      <c r="M740" s="554"/>
      <c r="N740" s="554"/>
      <c r="O740" s="555"/>
      <c r="P740" s="555"/>
    </row>
    <row r="741" spans="1:16" ht="21.75" customHeight="1" x14ac:dyDescent="0.25">
      <c r="A741" s="551"/>
      <c r="B741" s="551"/>
      <c r="C741" s="551"/>
      <c r="D741" s="551"/>
      <c r="E741" s="552"/>
      <c r="F741" s="552"/>
      <c r="G741" s="552"/>
      <c r="H741" s="552"/>
      <c r="I741" s="552"/>
      <c r="J741" s="552"/>
      <c r="K741" s="553"/>
      <c r="L741" s="554"/>
      <c r="M741" s="554"/>
      <c r="N741" s="554"/>
      <c r="O741" s="555"/>
      <c r="P741" s="555"/>
    </row>
    <row r="742" spans="1:16" ht="21.75" customHeight="1" x14ac:dyDescent="0.25">
      <c r="A742" s="551"/>
      <c r="B742" s="551"/>
      <c r="C742" s="551"/>
      <c r="D742" s="551"/>
      <c r="E742" s="552"/>
      <c r="F742" s="552"/>
      <c r="G742" s="552"/>
      <c r="H742" s="552"/>
      <c r="I742" s="552"/>
      <c r="J742" s="552"/>
      <c r="K742" s="553"/>
      <c r="L742" s="554"/>
      <c r="M742" s="554"/>
      <c r="N742" s="554"/>
      <c r="O742" s="555"/>
      <c r="P742" s="555"/>
    </row>
    <row r="743" spans="1:16" ht="21.75" customHeight="1" x14ac:dyDescent="0.25">
      <c r="A743" s="551"/>
      <c r="B743" s="551"/>
      <c r="C743" s="551"/>
      <c r="D743" s="551"/>
      <c r="E743" s="552"/>
      <c r="F743" s="552"/>
      <c r="G743" s="552"/>
      <c r="H743" s="552"/>
      <c r="I743" s="552"/>
      <c r="J743" s="552"/>
      <c r="K743" s="553"/>
      <c r="L743" s="554"/>
      <c r="M743" s="554"/>
      <c r="N743" s="554"/>
      <c r="O743" s="555"/>
      <c r="P743" s="555"/>
    </row>
    <row r="744" spans="1:16" ht="21.75" customHeight="1" x14ac:dyDescent="0.25">
      <c r="A744" s="551"/>
      <c r="B744" s="551"/>
      <c r="C744" s="551"/>
      <c r="D744" s="551"/>
      <c r="E744" s="552"/>
      <c r="F744" s="552"/>
      <c r="G744" s="552"/>
      <c r="H744" s="552"/>
      <c r="I744" s="552"/>
      <c r="J744" s="552"/>
      <c r="K744" s="553"/>
      <c r="L744" s="554"/>
      <c r="M744" s="554"/>
      <c r="N744" s="554"/>
      <c r="O744" s="555"/>
      <c r="P744" s="555"/>
    </row>
    <row r="745" spans="1:16" ht="21.75" customHeight="1" x14ac:dyDescent="0.25">
      <c r="A745" s="551"/>
      <c r="B745" s="551"/>
      <c r="C745" s="551"/>
      <c r="D745" s="551"/>
      <c r="E745" s="552"/>
      <c r="F745" s="552"/>
      <c r="G745" s="552"/>
      <c r="H745" s="552"/>
      <c r="I745" s="552"/>
      <c r="J745" s="552"/>
      <c r="K745" s="553"/>
      <c r="L745" s="554"/>
      <c r="M745" s="554"/>
      <c r="N745" s="554"/>
      <c r="O745" s="555"/>
      <c r="P745" s="555"/>
    </row>
    <row r="746" spans="1:16" ht="21.75" customHeight="1" x14ac:dyDescent="0.25">
      <c r="A746" s="551"/>
      <c r="B746" s="551"/>
      <c r="C746" s="551"/>
      <c r="D746" s="551"/>
      <c r="E746" s="552"/>
      <c r="F746" s="552"/>
      <c r="G746" s="552"/>
      <c r="H746" s="552"/>
      <c r="I746" s="552"/>
      <c r="J746" s="552"/>
      <c r="K746" s="553"/>
      <c r="L746" s="554"/>
      <c r="M746" s="554"/>
      <c r="N746" s="554"/>
      <c r="O746" s="555"/>
      <c r="P746" s="555"/>
    </row>
    <row r="747" spans="1:16" ht="21.75" customHeight="1" x14ac:dyDescent="0.25">
      <c r="A747" s="551"/>
      <c r="B747" s="551"/>
      <c r="C747" s="551"/>
      <c r="D747" s="551"/>
      <c r="E747" s="552"/>
      <c r="F747" s="552"/>
      <c r="G747" s="552"/>
      <c r="H747" s="552"/>
      <c r="I747" s="552"/>
      <c r="J747" s="552"/>
      <c r="K747" s="553"/>
      <c r="L747" s="554"/>
      <c r="M747" s="554"/>
      <c r="N747" s="554"/>
      <c r="O747" s="555"/>
      <c r="P747" s="555"/>
    </row>
    <row r="748" spans="1:16" ht="21.75" customHeight="1" x14ac:dyDescent="0.25">
      <c r="A748" s="551"/>
      <c r="B748" s="551"/>
      <c r="C748" s="551"/>
      <c r="D748" s="551"/>
      <c r="E748" s="552"/>
      <c r="F748" s="552"/>
      <c r="G748" s="552"/>
      <c r="H748" s="552"/>
      <c r="I748" s="552"/>
      <c r="J748" s="552"/>
      <c r="K748" s="553"/>
      <c r="L748" s="554"/>
      <c r="M748" s="554"/>
      <c r="N748" s="554"/>
      <c r="O748" s="555"/>
      <c r="P748" s="555"/>
    </row>
    <row r="749" spans="1:16" ht="21.75" customHeight="1" x14ac:dyDescent="0.25">
      <c r="A749" s="551"/>
      <c r="B749" s="551"/>
      <c r="C749" s="551"/>
      <c r="D749" s="551"/>
      <c r="E749" s="552"/>
      <c r="F749" s="552"/>
      <c r="G749" s="552"/>
      <c r="H749" s="552"/>
      <c r="I749" s="552"/>
      <c r="J749" s="552"/>
      <c r="K749" s="553"/>
      <c r="L749" s="554"/>
      <c r="M749" s="554"/>
      <c r="N749" s="554"/>
      <c r="O749" s="555"/>
      <c r="P749" s="555"/>
    </row>
    <row r="750" spans="1:16" ht="21.75" customHeight="1" x14ac:dyDescent="0.25">
      <c r="A750" s="551"/>
      <c r="B750" s="551"/>
      <c r="C750" s="551"/>
      <c r="D750" s="551"/>
      <c r="E750" s="552"/>
      <c r="F750" s="552"/>
      <c r="G750" s="552"/>
      <c r="H750" s="552"/>
      <c r="I750" s="552"/>
      <c r="J750" s="552"/>
      <c r="K750" s="553"/>
      <c r="L750" s="554"/>
      <c r="M750" s="554"/>
      <c r="N750" s="554"/>
      <c r="O750" s="555"/>
      <c r="P750" s="555"/>
    </row>
    <row r="751" spans="1:16" ht="21.75" customHeight="1" x14ac:dyDescent="0.25">
      <c r="A751" s="551"/>
      <c r="B751" s="551"/>
      <c r="C751" s="551"/>
      <c r="D751" s="551"/>
      <c r="E751" s="552"/>
      <c r="F751" s="552"/>
      <c r="G751" s="552"/>
      <c r="H751" s="552"/>
      <c r="I751" s="552"/>
      <c r="J751" s="552"/>
      <c r="K751" s="553"/>
      <c r="L751" s="554"/>
      <c r="M751" s="554"/>
      <c r="N751" s="554"/>
      <c r="O751" s="555"/>
      <c r="P751" s="555"/>
    </row>
    <row r="752" spans="1:16" ht="21.75" customHeight="1" x14ac:dyDescent="0.25">
      <c r="A752" s="551"/>
      <c r="B752" s="551"/>
      <c r="C752" s="551"/>
      <c r="D752" s="551"/>
      <c r="E752" s="552"/>
      <c r="F752" s="552"/>
      <c r="G752" s="552"/>
      <c r="H752" s="552"/>
      <c r="I752" s="552"/>
      <c r="J752" s="552"/>
      <c r="K752" s="553"/>
      <c r="L752" s="554"/>
      <c r="M752" s="554"/>
      <c r="N752" s="554"/>
      <c r="O752" s="555"/>
      <c r="P752" s="555"/>
    </row>
    <row r="753" spans="1:16" ht="21.75" customHeight="1" x14ac:dyDescent="0.25">
      <c r="A753" s="551"/>
      <c r="B753" s="551"/>
      <c r="C753" s="551"/>
      <c r="D753" s="551"/>
      <c r="E753" s="552"/>
      <c r="F753" s="552"/>
      <c r="G753" s="552"/>
      <c r="H753" s="552"/>
      <c r="I753" s="552"/>
      <c r="J753" s="552"/>
      <c r="K753" s="553"/>
      <c r="L753" s="554"/>
      <c r="M753" s="554"/>
      <c r="N753" s="554"/>
      <c r="O753" s="555"/>
      <c r="P753" s="555"/>
    </row>
    <row r="754" spans="1:16" ht="21.75" customHeight="1" x14ac:dyDescent="0.25">
      <c r="A754" s="551"/>
      <c r="B754" s="551"/>
      <c r="C754" s="551"/>
      <c r="D754" s="551"/>
      <c r="E754" s="552"/>
      <c r="F754" s="552"/>
      <c r="G754" s="552"/>
      <c r="H754" s="552"/>
      <c r="I754" s="552"/>
      <c r="J754" s="552"/>
      <c r="K754" s="553"/>
      <c r="L754" s="554"/>
      <c r="M754" s="554"/>
      <c r="N754" s="554"/>
      <c r="O754" s="555"/>
      <c r="P754" s="555"/>
    </row>
    <row r="755" spans="1:16" ht="21.75" customHeight="1" x14ac:dyDescent="0.25">
      <c r="A755" s="551"/>
      <c r="B755" s="551"/>
      <c r="C755" s="551"/>
      <c r="D755" s="551"/>
      <c r="E755" s="552"/>
      <c r="F755" s="552"/>
      <c r="G755" s="552"/>
      <c r="H755" s="552"/>
      <c r="I755" s="552"/>
      <c r="J755" s="552"/>
      <c r="K755" s="553"/>
      <c r="L755" s="554"/>
      <c r="M755" s="554"/>
      <c r="N755" s="554"/>
      <c r="O755" s="555"/>
      <c r="P755" s="555"/>
    </row>
    <row r="756" spans="1:16" ht="21.75" customHeight="1" x14ac:dyDescent="0.25">
      <c r="A756" s="551"/>
      <c r="B756" s="551"/>
      <c r="C756" s="551"/>
      <c r="D756" s="551"/>
      <c r="E756" s="552"/>
      <c r="F756" s="552"/>
      <c r="G756" s="552"/>
      <c r="H756" s="552"/>
      <c r="I756" s="552"/>
      <c r="J756" s="552"/>
      <c r="K756" s="553"/>
      <c r="L756" s="554"/>
      <c r="M756" s="554"/>
      <c r="N756" s="554"/>
      <c r="O756" s="555"/>
      <c r="P756" s="555"/>
    </row>
    <row r="757" spans="1:16" ht="21.75" customHeight="1" x14ac:dyDescent="0.25">
      <c r="A757" s="551"/>
      <c r="B757" s="551"/>
      <c r="C757" s="551"/>
      <c r="D757" s="551"/>
      <c r="E757" s="552"/>
      <c r="F757" s="552"/>
      <c r="G757" s="552"/>
      <c r="H757" s="552"/>
      <c r="I757" s="552"/>
      <c r="J757" s="552"/>
      <c r="K757" s="553"/>
      <c r="L757" s="554"/>
      <c r="M757" s="554"/>
      <c r="N757" s="554"/>
      <c r="O757" s="555"/>
      <c r="P757" s="555"/>
    </row>
    <row r="758" spans="1:16" ht="21.75" customHeight="1" x14ac:dyDescent="0.25">
      <c r="A758" s="551"/>
      <c r="B758" s="551"/>
      <c r="C758" s="551"/>
      <c r="D758" s="551"/>
      <c r="E758" s="552"/>
      <c r="F758" s="552"/>
      <c r="G758" s="552"/>
      <c r="H758" s="552"/>
      <c r="I758" s="552"/>
      <c r="J758" s="552"/>
      <c r="K758" s="553"/>
      <c r="L758" s="554"/>
      <c r="M758" s="554"/>
      <c r="N758" s="554"/>
      <c r="O758" s="555"/>
      <c r="P758" s="555"/>
    </row>
    <row r="759" spans="1:16" ht="21.75" customHeight="1" x14ac:dyDescent="0.25">
      <c r="A759" s="551"/>
      <c r="B759" s="551"/>
      <c r="C759" s="551"/>
      <c r="D759" s="551"/>
      <c r="E759" s="552"/>
      <c r="F759" s="552"/>
      <c r="G759" s="552"/>
      <c r="H759" s="552"/>
      <c r="I759" s="552"/>
      <c r="J759" s="552"/>
      <c r="K759" s="553"/>
      <c r="L759" s="554"/>
      <c r="M759" s="554"/>
      <c r="N759" s="554"/>
      <c r="O759" s="555"/>
      <c r="P759" s="555"/>
    </row>
    <row r="760" spans="1:16" ht="21.75" customHeight="1" x14ac:dyDescent="0.25">
      <c r="A760" s="551"/>
      <c r="B760" s="551"/>
      <c r="C760" s="551"/>
      <c r="D760" s="551"/>
      <c r="E760" s="552"/>
      <c r="F760" s="552"/>
      <c r="G760" s="552"/>
      <c r="H760" s="552"/>
      <c r="I760" s="552"/>
      <c r="J760" s="552"/>
      <c r="K760" s="553"/>
      <c r="L760" s="554"/>
      <c r="M760" s="554"/>
      <c r="N760" s="554"/>
      <c r="O760" s="555"/>
      <c r="P760" s="555"/>
    </row>
    <row r="761" spans="1:16" ht="21.75" customHeight="1" x14ac:dyDescent="0.25">
      <c r="A761" s="551"/>
      <c r="B761" s="551"/>
      <c r="C761" s="551"/>
      <c r="D761" s="551"/>
      <c r="E761" s="552"/>
      <c r="F761" s="552"/>
      <c r="G761" s="552"/>
      <c r="H761" s="552"/>
      <c r="I761" s="552"/>
      <c r="J761" s="552"/>
      <c r="K761" s="553"/>
      <c r="L761" s="554"/>
      <c r="M761" s="554"/>
      <c r="N761" s="554"/>
      <c r="O761" s="555"/>
      <c r="P761" s="555"/>
    </row>
    <row r="762" spans="1:16" ht="21.75" customHeight="1" x14ac:dyDescent="0.25">
      <c r="A762" s="551"/>
      <c r="B762" s="551"/>
      <c r="C762" s="551"/>
      <c r="D762" s="551"/>
      <c r="E762" s="552"/>
      <c r="F762" s="552"/>
      <c r="G762" s="552"/>
      <c r="H762" s="552"/>
      <c r="I762" s="552"/>
      <c r="J762" s="552"/>
      <c r="K762" s="553"/>
      <c r="L762" s="554"/>
      <c r="M762" s="554"/>
      <c r="N762" s="554"/>
      <c r="O762" s="555"/>
      <c r="P762" s="555"/>
    </row>
    <row r="763" spans="1:16" ht="21.75" customHeight="1" x14ac:dyDescent="0.25">
      <c r="A763" s="551"/>
      <c r="B763" s="551"/>
      <c r="C763" s="551"/>
      <c r="D763" s="551"/>
      <c r="E763" s="552"/>
      <c r="F763" s="552"/>
      <c r="G763" s="552"/>
      <c r="H763" s="552"/>
      <c r="I763" s="552"/>
      <c r="J763" s="552"/>
      <c r="K763" s="553"/>
      <c r="L763" s="554"/>
      <c r="M763" s="554"/>
      <c r="N763" s="554"/>
      <c r="O763" s="555"/>
      <c r="P763" s="555"/>
    </row>
    <row r="764" spans="1:16" ht="21.75" customHeight="1" x14ac:dyDescent="0.25">
      <c r="A764" s="551"/>
      <c r="B764" s="551"/>
      <c r="C764" s="551"/>
      <c r="D764" s="551"/>
      <c r="E764" s="552"/>
      <c r="F764" s="552"/>
      <c r="G764" s="552"/>
      <c r="H764" s="552"/>
      <c r="I764" s="552"/>
      <c r="J764" s="552"/>
      <c r="K764" s="553"/>
      <c r="L764" s="554"/>
      <c r="M764" s="554"/>
      <c r="N764" s="554"/>
      <c r="O764" s="555"/>
      <c r="P764" s="555"/>
    </row>
    <row r="765" spans="1:16" ht="21.75" customHeight="1" x14ac:dyDescent="0.25">
      <c r="A765" s="551"/>
      <c r="B765" s="551"/>
      <c r="C765" s="551"/>
      <c r="D765" s="551"/>
      <c r="E765" s="552"/>
      <c r="F765" s="552"/>
      <c r="G765" s="552"/>
      <c r="H765" s="552"/>
      <c r="I765" s="552"/>
      <c r="J765" s="552"/>
      <c r="K765" s="553"/>
      <c r="L765" s="554"/>
      <c r="M765" s="554"/>
      <c r="N765" s="554"/>
      <c r="O765" s="555"/>
      <c r="P765" s="555"/>
    </row>
    <row r="766" spans="1:16" ht="21.75" customHeight="1" x14ac:dyDescent="0.25">
      <c r="A766" s="551"/>
      <c r="B766" s="551"/>
      <c r="C766" s="551"/>
      <c r="D766" s="551"/>
      <c r="E766" s="552"/>
      <c r="F766" s="552"/>
      <c r="G766" s="552"/>
      <c r="H766" s="552"/>
      <c r="I766" s="552"/>
      <c r="J766" s="552"/>
      <c r="K766" s="553"/>
      <c r="L766" s="554"/>
      <c r="M766" s="554"/>
      <c r="N766" s="554"/>
      <c r="O766" s="555"/>
      <c r="P766" s="555"/>
    </row>
    <row r="767" spans="1:16" ht="21.75" customHeight="1" x14ac:dyDescent="0.25">
      <c r="A767" s="551"/>
      <c r="B767" s="551"/>
      <c r="C767" s="551"/>
      <c r="D767" s="551"/>
      <c r="E767" s="552"/>
      <c r="F767" s="552"/>
      <c r="G767" s="552"/>
      <c r="H767" s="552"/>
      <c r="I767" s="552"/>
      <c r="J767" s="552"/>
      <c r="K767" s="553"/>
      <c r="L767" s="554"/>
      <c r="M767" s="554"/>
      <c r="N767" s="554"/>
      <c r="O767" s="555"/>
      <c r="P767" s="555"/>
    </row>
    <row r="768" spans="1:16" ht="21.75" customHeight="1" x14ac:dyDescent="0.25">
      <c r="A768" s="551"/>
      <c r="B768" s="551"/>
      <c r="C768" s="551"/>
      <c r="D768" s="551"/>
      <c r="E768" s="552"/>
      <c r="F768" s="552"/>
      <c r="G768" s="552"/>
      <c r="H768" s="552"/>
      <c r="I768" s="552"/>
      <c r="J768" s="552"/>
      <c r="K768" s="553"/>
      <c r="L768" s="554"/>
      <c r="M768" s="554"/>
      <c r="N768" s="554"/>
      <c r="O768" s="555"/>
      <c r="P768" s="555"/>
    </row>
    <row r="769" spans="1:16" ht="21.75" customHeight="1" x14ac:dyDescent="0.25">
      <c r="A769" s="551"/>
      <c r="B769" s="551"/>
      <c r="C769" s="551"/>
      <c r="D769" s="551"/>
      <c r="E769" s="552"/>
      <c r="F769" s="552"/>
      <c r="G769" s="552"/>
      <c r="H769" s="552"/>
      <c r="I769" s="552"/>
      <c r="J769" s="552"/>
      <c r="K769" s="553"/>
      <c r="L769" s="554"/>
      <c r="M769" s="554"/>
      <c r="N769" s="554"/>
      <c r="O769" s="555"/>
      <c r="P769" s="555"/>
    </row>
    <row r="770" spans="1:16" ht="21.75" customHeight="1" x14ac:dyDescent="0.25">
      <c r="A770" s="551"/>
      <c r="B770" s="551"/>
      <c r="C770" s="551"/>
      <c r="D770" s="551"/>
      <c r="E770" s="552"/>
      <c r="F770" s="552"/>
      <c r="G770" s="552"/>
      <c r="H770" s="552"/>
      <c r="I770" s="552"/>
      <c r="J770" s="552"/>
      <c r="K770" s="553"/>
      <c r="L770" s="554"/>
      <c r="M770" s="554"/>
      <c r="N770" s="554"/>
      <c r="O770" s="555"/>
      <c r="P770" s="555"/>
    </row>
    <row r="771" spans="1:16" ht="21.75" customHeight="1" x14ac:dyDescent="0.25">
      <c r="A771" s="551"/>
      <c r="B771" s="551"/>
      <c r="C771" s="551"/>
      <c r="D771" s="551"/>
      <c r="E771" s="552"/>
      <c r="F771" s="552"/>
      <c r="G771" s="552"/>
      <c r="H771" s="552"/>
      <c r="I771" s="552"/>
      <c r="J771" s="552"/>
      <c r="K771" s="553"/>
      <c r="L771" s="554"/>
      <c r="M771" s="554"/>
      <c r="N771" s="554"/>
      <c r="O771" s="555"/>
      <c r="P771" s="555"/>
    </row>
    <row r="772" spans="1:16" ht="21.75" customHeight="1" x14ac:dyDescent="0.25">
      <c r="A772" s="551"/>
      <c r="B772" s="551"/>
      <c r="C772" s="551"/>
      <c r="D772" s="551"/>
      <c r="E772" s="552"/>
      <c r="F772" s="552"/>
      <c r="G772" s="552"/>
      <c r="H772" s="552"/>
      <c r="I772" s="552"/>
      <c r="J772" s="552"/>
      <c r="K772" s="553"/>
      <c r="L772" s="554"/>
      <c r="M772" s="554"/>
      <c r="N772" s="554"/>
      <c r="O772" s="555"/>
      <c r="P772" s="555"/>
    </row>
    <row r="773" spans="1:16" ht="21.75" customHeight="1" x14ac:dyDescent="0.25">
      <c r="A773" s="551"/>
      <c r="B773" s="551"/>
      <c r="C773" s="551"/>
      <c r="D773" s="551"/>
      <c r="E773" s="552"/>
      <c r="F773" s="552"/>
      <c r="G773" s="552"/>
      <c r="H773" s="552"/>
      <c r="I773" s="552"/>
      <c r="J773" s="552"/>
      <c r="K773" s="553"/>
      <c r="L773" s="554"/>
      <c r="M773" s="554"/>
      <c r="N773" s="554"/>
      <c r="O773" s="555"/>
      <c r="P773" s="555"/>
    </row>
    <row r="774" spans="1:16" ht="21.75" customHeight="1" x14ac:dyDescent="0.25">
      <c r="A774" s="551"/>
      <c r="B774" s="551"/>
      <c r="C774" s="551"/>
      <c r="D774" s="551"/>
      <c r="E774" s="552"/>
      <c r="F774" s="552"/>
      <c r="G774" s="552"/>
      <c r="H774" s="552"/>
      <c r="I774" s="552"/>
      <c r="J774" s="552"/>
      <c r="K774" s="553"/>
      <c r="L774" s="554"/>
      <c r="M774" s="554"/>
      <c r="N774" s="554"/>
      <c r="O774" s="555"/>
      <c r="P774" s="555"/>
    </row>
    <row r="775" spans="1:16" ht="21.75" customHeight="1" x14ac:dyDescent="0.25">
      <c r="A775" s="551"/>
      <c r="B775" s="551"/>
      <c r="C775" s="551"/>
      <c r="D775" s="551"/>
      <c r="E775" s="552"/>
      <c r="F775" s="552"/>
      <c r="G775" s="552"/>
      <c r="H775" s="552"/>
      <c r="I775" s="552"/>
      <c r="J775" s="552"/>
      <c r="K775" s="553"/>
      <c r="L775" s="554"/>
      <c r="M775" s="554"/>
      <c r="N775" s="554"/>
      <c r="O775" s="555"/>
      <c r="P775" s="555"/>
    </row>
    <row r="776" spans="1:16" ht="21.75" customHeight="1" x14ac:dyDescent="0.25">
      <c r="A776" s="551"/>
      <c r="B776" s="551"/>
      <c r="C776" s="551"/>
      <c r="D776" s="551"/>
      <c r="E776" s="552"/>
      <c r="F776" s="552"/>
      <c r="G776" s="552"/>
      <c r="H776" s="552"/>
      <c r="I776" s="552"/>
      <c r="J776" s="552"/>
      <c r="K776" s="553"/>
      <c r="L776" s="554"/>
      <c r="M776" s="554"/>
      <c r="N776" s="554"/>
      <c r="O776" s="555"/>
      <c r="P776" s="555"/>
    </row>
    <row r="777" spans="1:16" ht="21.75" customHeight="1" x14ac:dyDescent="0.25">
      <c r="A777" s="551"/>
      <c r="B777" s="551"/>
      <c r="C777" s="551"/>
      <c r="D777" s="551"/>
      <c r="E777" s="552"/>
      <c r="F777" s="552"/>
      <c r="G777" s="552"/>
      <c r="H777" s="552"/>
      <c r="I777" s="552"/>
      <c r="J777" s="552"/>
      <c r="K777" s="553"/>
      <c r="L777" s="554"/>
      <c r="M777" s="554"/>
      <c r="N777" s="554"/>
      <c r="O777" s="555"/>
      <c r="P777" s="555"/>
    </row>
    <row r="778" spans="1:16" ht="21.75" customHeight="1" x14ac:dyDescent="0.25">
      <c r="A778" s="551"/>
      <c r="B778" s="551"/>
      <c r="C778" s="551"/>
      <c r="D778" s="551"/>
      <c r="E778" s="552"/>
      <c r="F778" s="552"/>
      <c r="G778" s="552"/>
      <c r="H778" s="552"/>
      <c r="I778" s="552"/>
      <c r="J778" s="552"/>
      <c r="K778" s="553"/>
      <c r="L778" s="554"/>
      <c r="M778" s="554"/>
      <c r="N778" s="554"/>
      <c r="O778" s="555"/>
      <c r="P778" s="555"/>
    </row>
    <row r="779" spans="1:16" ht="21.75" customHeight="1" x14ac:dyDescent="0.25">
      <c r="A779" s="551"/>
      <c r="B779" s="551"/>
      <c r="C779" s="551"/>
      <c r="D779" s="551"/>
      <c r="E779" s="552"/>
      <c r="F779" s="552"/>
      <c r="G779" s="552"/>
      <c r="H779" s="552"/>
      <c r="I779" s="552"/>
      <c r="J779" s="552"/>
      <c r="K779" s="553"/>
      <c r="L779" s="554"/>
      <c r="M779" s="554"/>
      <c r="N779" s="554"/>
      <c r="O779" s="555"/>
      <c r="P779" s="555"/>
    </row>
    <row r="780" spans="1:16" ht="21.75" customHeight="1" x14ac:dyDescent="0.25">
      <c r="A780" s="551"/>
      <c r="B780" s="551"/>
      <c r="C780" s="551"/>
      <c r="D780" s="551"/>
      <c r="E780" s="552"/>
      <c r="F780" s="552"/>
      <c r="G780" s="552"/>
      <c r="H780" s="552"/>
      <c r="I780" s="552"/>
      <c r="J780" s="552"/>
      <c r="K780" s="553"/>
      <c r="L780" s="554"/>
      <c r="M780" s="554"/>
      <c r="N780" s="554"/>
      <c r="O780" s="555"/>
      <c r="P780" s="555"/>
    </row>
    <row r="781" spans="1:16" ht="21.75" customHeight="1" x14ac:dyDescent="0.25">
      <c r="A781" s="551"/>
      <c r="B781" s="551"/>
      <c r="C781" s="551"/>
      <c r="D781" s="551"/>
      <c r="E781" s="552"/>
      <c r="F781" s="552"/>
      <c r="G781" s="552"/>
      <c r="H781" s="552"/>
      <c r="I781" s="552"/>
      <c r="J781" s="552"/>
      <c r="K781" s="553"/>
      <c r="L781" s="554"/>
      <c r="M781" s="554"/>
      <c r="N781" s="554"/>
      <c r="O781" s="555"/>
      <c r="P781" s="555"/>
    </row>
    <row r="782" spans="1:16" ht="21.75" customHeight="1" x14ac:dyDescent="0.25">
      <c r="A782" s="551"/>
      <c r="B782" s="551"/>
      <c r="C782" s="551"/>
      <c r="D782" s="551"/>
      <c r="E782" s="552"/>
      <c r="F782" s="552"/>
      <c r="G782" s="552"/>
      <c r="H782" s="552"/>
      <c r="I782" s="552"/>
      <c r="J782" s="552"/>
      <c r="K782" s="553"/>
      <c r="L782" s="554"/>
      <c r="M782" s="554"/>
      <c r="N782" s="554"/>
      <c r="O782" s="555"/>
      <c r="P782" s="555"/>
    </row>
    <row r="783" spans="1:16" ht="21.75" customHeight="1" x14ac:dyDescent="0.25">
      <c r="A783" s="551"/>
      <c r="B783" s="551"/>
      <c r="C783" s="551"/>
      <c r="D783" s="551"/>
      <c r="E783" s="552"/>
      <c r="F783" s="552"/>
      <c r="G783" s="552"/>
      <c r="H783" s="552"/>
      <c r="I783" s="552"/>
      <c r="J783" s="552"/>
      <c r="K783" s="553"/>
      <c r="L783" s="554"/>
      <c r="M783" s="554"/>
      <c r="N783" s="554"/>
      <c r="O783" s="555"/>
      <c r="P783" s="555"/>
    </row>
    <row r="784" spans="1:16" ht="21.75" customHeight="1" x14ac:dyDescent="0.25">
      <c r="A784" s="551"/>
      <c r="B784" s="551"/>
      <c r="C784" s="551"/>
      <c r="D784" s="551"/>
      <c r="E784" s="552"/>
      <c r="F784" s="552"/>
      <c r="G784" s="552"/>
      <c r="H784" s="552"/>
      <c r="I784" s="552"/>
      <c r="J784" s="552"/>
      <c r="K784" s="553"/>
      <c r="L784" s="554"/>
      <c r="M784" s="554"/>
      <c r="N784" s="554"/>
      <c r="O784" s="555"/>
      <c r="P784" s="555"/>
    </row>
    <row r="785" spans="1:16" ht="21.75" customHeight="1" x14ac:dyDescent="0.25">
      <c r="A785" s="551"/>
      <c r="B785" s="551"/>
      <c r="C785" s="551"/>
      <c r="D785" s="551"/>
      <c r="E785" s="552"/>
      <c r="F785" s="552"/>
      <c r="G785" s="552"/>
      <c r="H785" s="552"/>
      <c r="I785" s="552"/>
      <c r="J785" s="552"/>
      <c r="K785" s="553"/>
      <c r="L785" s="554"/>
      <c r="M785" s="554"/>
      <c r="N785" s="554"/>
      <c r="O785" s="555"/>
      <c r="P785" s="555"/>
    </row>
    <row r="786" spans="1:16" ht="21.75" customHeight="1" x14ac:dyDescent="0.25">
      <c r="A786" s="551"/>
      <c r="B786" s="551"/>
      <c r="C786" s="551"/>
      <c r="D786" s="551"/>
      <c r="E786" s="552"/>
      <c r="F786" s="552"/>
      <c r="G786" s="552"/>
      <c r="H786" s="552"/>
      <c r="I786" s="552"/>
      <c r="J786" s="552"/>
      <c r="K786" s="553"/>
      <c r="L786" s="554"/>
      <c r="M786" s="554"/>
      <c r="N786" s="554"/>
      <c r="O786" s="555"/>
      <c r="P786" s="555"/>
    </row>
    <row r="787" spans="1:16" ht="21.75" customHeight="1" x14ac:dyDescent="0.25">
      <c r="A787" s="551"/>
      <c r="B787" s="551"/>
      <c r="C787" s="551"/>
      <c r="D787" s="551"/>
      <c r="E787" s="552"/>
      <c r="F787" s="552"/>
      <c r="G787" s="552"/>
      <c r="H787" s="552"/>
      <c r="I787" s="552"/>
      <c r="J787" s="552"/>
      <c r="K787" s="553"/>
      <c r="L787" s="554"/>
      <c r="M787" s="554"/>
      <c r="N787" s="554"/>
      <c r="O787" s="555"/>
      <c r="P787" s="555"/>
    </row>
    <row r="788" spans="1:16" ht="21.75" customHeight="1" x14ac:dyDescent="0.25">
      <c r="A788" s="551"/>
      <c r="B788" s="551"/>
      <c r="C788" s="551"/>
      <c r="D788" s="551"/>
      <c r="E788" s="552"/>
      <c r="F788" s="552"/>
      <c r="G788" s="552"/>
      <c r="H788" s="552"/>
      <c r="I788" s="552"/>
      <c r="J788" s="552"/>
      <c r="K788" s="553"/>
      <c r="L788" s="554"/>
      <c r="M788" s="554"/>
      <c r="N788" s="554"/>
      <c r="O788" s="555"/>
      <c r="P788" s="555"/>
    </row>
    <row r="789" spans="1:16" ht="21.75" customHeight="1" x14ac:dyDescent="0.25">
      <c r="A789" s="551"/>
      <c r="B789" s="551"/>
      <c r="C789" s="551"/>
      <c r="D789" s="551"/>
      <c r="E789" s="552"/>
      <c r="F789" s="552"/>
      <c r="G789" s="552"/>
      <c r="H789" s="552"/>
      <c r="I789" s="552"/>
      <c r="J789" s="552"/>
      <c r="K789" s="553"/>
      <c r="L789" s="554"/>
      <c r="M789" s="554"/>
      <c r="N789" s="554"/>
      <c r="O789" s="555"/>
      <c r="P789" s="555"/>
    </row>
    <row r="790" spans="1:16" ht="21.75" customHeight="1" x14ac:dyDescent="0.25">
      <c r="A790" s="551"/>
      <c r="B790" s="551"/>
      <c r="C790" s="551"/>
      <c r="D790" s="551"/>
      <c r="E790" s="552"/>
      <c r="F790" s="552"/>
      <c r="G790" s="552"/>
      <c r="H790" s="552"/>
      <c r="I790" s="552"/>
      <c r="J790" s="552"/>
      <c r="K790" s="553"/>
      <c r="L790" s="554"/>
      <c r="M790" s="554"/>
      <c r="N790" s="554"/>
      <c r="O790" s="555"/>
      <c r="P790" s="555"/>
    </row>
    <row r="791" spans="1:16" ht="21.75" customHeight="1" x14ac:dyDescent="0.25">
      <c r="A791" s="551"/>
      <c r="B791" s="551"/>
      <c r="C791" s="551"/>
      <c r="D791" s="551"/>
      <c r="E791" s="552"/>
      <c r="F791" s="552"/>
      <c r="G791" s="552"/>
      <c r="H791" s="552"/>
      <c r="I791" s="552"/>
      <c r="J791" s="552"/>
      <c r="K791" s="553"/>
      <c r="L791" s="554"/>
      <c r="M791" s="554"/>
      <c r="N791" s="554"/>
      <c r="O791" s="555"/>
      <c r="P791" s="555"/>
    </row>
    <row r="792" spans="1:16" ht="21.75" customHeight="1" x14ac:dyDescent="0.25">
      <c r="A792" s="551"/>
      <c r="B792" s="551"/>
      <c r="C792" s="551"/>
      <c r="D792" s="551"/>
      <c r="E792" s="552"/>
      <c r="F792" s="552"/>
      <c r="G792" s="552"/>
      <c r="H792" s="552"/>
      <c r="I792" s="552"/>
      <c r="J792" s="552"/>
      <c r="K792" s="553"/>
      <c r="L792" s="554"/>
      <c r="M792" s="554"/>
      <c r="N792" s="554"/>
      <c r="O792" s="555"/>
      <c r="P792" s="555"/>
    </row>
    <row r="793" spans="1:16" ht="21.75" customHeight="1" x14ac:dyDescent="0.25">
      <c r="A793" s="551"/>
      <c r="B793" s="551"/>
      <c r="C793" s="551"/>
      <c r="D793" s="551"/>
      <c r="E793" s="552"/>
      <c r="F793" s="552"/>
      <c r="G793" s="552"/>
      <c r="H793" s="552"/>
      <c r="I793" s="552"/>
      <c r="J793" s="552"/>
      <c r="K793" s="553"/>
      <c r="L793" s="554"/>
      <c r="M793" s="554"/>
      <c r="N793" s="554"/>
      <c r="O793" s="555"/>
      <c r="P793" s="555"/>
    </row>
    <row r="794" spans="1:16" ht="21.75" customHeight="1" x14ac:dyDescent="0.25">
      <c r="A794" s="551"/>
      <c r="B794" s="551"/>
      <c r="C794" s="551"/>
      <c r="D794" s="551"/>
      <c r="E794" s="552"/>
      <c r="F794" s="552"/>
      <c r="G794" s="552"/>
      <c r="H794" s="552"/>
      <c r="I794" s="552"/>
      <c r="J794" s="552"/>
      <c r="K794" s="553"/>
      <c r="L794" s="554"/>
      <c r="M794" s="554"/>
      <c r="N794" s="554"/>
      <c r="O794" s="555"/>
      <c r="P794" s="555"/>
    </row>
    <row r="795" spans="1:16" ht="21.75" customHeight="1" x14ac:dyDescent="0.25">
      <c r="A795" s="551"/>
      <c r="B795" s="551"/>
      <c r="C795" s="551"/>
      <c r="D795" s="551"/>
      <c r="E795" s="552"/>
      <c r="F795" s="552"/>
      <c r="G795" s="552"/>
      <c r="H795" s="552"/>
      <c r="I795" s="552"/>
      <c r="J795" s="552"/>
      <c r="K795" s="553"/>
      <c r="L795" s="554"/>
      <c r="M795" s="554"/>
      <c r="N795" s="554"/>
      <c r="O795" s="555"/>
      <c r="P795" s="555"/>
    </row>
    <row r="796" spans="1:16" ht="21.75" customHeight="1" x14ac:dyDescent="0.25">
      <c r="A796" s="551"/>
      <c r="B796" s="551"/>
      <c r="C796" s="551"/>
      <c r="D796" s="551"/>
      <c r="E796" s="552"/>
      <c r="F796" s="552"/>
      <c r="G796" s="552"/>
      <c r="H796" s="552"/>
      <c r="I796" s="552"/>
      <c r="J796" s="552"/>
      <c r="K796" s="553"/>
      <c r="L796" s="554"/>
      <c r="M796" s="554"/>
      <c r="N796" s="554"/>
      <c r="O796" s="555"/>
      <c r="P796" s="555"/>
    </row>
    <row r="797" spans="1:16" ht="21.75" customHeight="1" x14ac:dyDescent="0.25">
      <c r="A797" s="551"/>
      <c r="B797" s="551"/>
      <c r="C797" s="551"/>
      <c r="D797" s="551"/>
      <c r="E797" s="552"/>
      <c r="F797" s="552"/>
      <c r="G797" s="552"/>
      <c r="H797" s="552"/>
      <c r="I797" s="552"/>
      <c r="J797" s="552"/>
      <c r="K797" s="553"/>
      <c r="L797" s="554"/>
      <c r="M797" s="554"/>
      <c r="N797" s="554"/>
      <c r="O797" s="555"/>
      <c r="P797" s="555"/>
    </row>
    <row r="798" spans="1:16" ht="21.75" customHeight="1" x14ac:dyDescent="0.25">
      <c r="A798" s="551"/>
      <c r="B798" s="551"/>
      <c r="C798" s="551"/>
      <c r="D798" s="551"/>
      <c r="E798" s="552"/>
      <c r="F798" s="552"/>
      <c r="G798" s="552"/>
      <c r="H798" s="552"/>
      <c r="I798" s="552"/>
      <c r="J798" s="552"/>
      <c r="K798" s="553"/>
      <c r="L798" s="554"/>
      <c r="M798" s="554"/>
      <c r="N798" s="554"/>
      <c r="O798" s="555"/>
      <c r="P798" s="555"/>
    </row>
    <row r="799" spans="1:16" ht="21.75" customHeight="1" x14ac:dyDescent="0.25">
      <c r="A799" s="551"/>
      <c r="B799" s="551"/>
      <c r="C799" s="551"/>
      <c r="D799" s="551"/>
      <c r="E799" s="552"/>
      <c r="F799" s="552"/>
      <c r="G799" s="552"/>
      <c r="H799" s="552"/>
      <c r="I799" s="552"/>
      <c r="J799" s="552"/>
      <c r="K799" s="553"/>
      <c r="L799" s="554"/>
      <c r="M799" s="554"/>
      <c r="N799" s="554"/>
      <c r="O799" s="555"/>
      <c r="P799" s="555"/>
    </row>
    <row r="800" spans="1:16" ht="21.75" customHeight="1" x14ac:dyDescent="0.25">
      <c r="A800" s="551"/>
      <c r="B800" s="551"/>
      <c r="C800" s="551"/>
      <c r="D800" s="551"/>
      <c r="E800" s="552"/>
      <c r="F800" s="552"/>
      <c r="G800" s="552"/>
      <c r="H800" s="552"/>
      <c r="I800" s="552"/>
      <c r="J800" s="552"/>
      <c r="K800" s="553"/>
      <c r="L800" s="554"/>
      <c r="M800" s="554"/>
      <c r="N800" s="554"/>
      <c r="O800" s="555"/>
      <c r="P800" s="555"/>
    </row>
    <row r="801" spans="1:16" ht="21.75" customHeight="1" x14ac:dyDescent="0.25">
      <c r="A801" s="551"/>
      <c r="B801" s="551"/>
      <c r="C801" s="551"/>
      <c r="D801" s="551"/>
      <c r="E801" s="552"/>
      <c r="F801" s="552"/>
      <c r="G801" s="552"/>
      <c r="H801" s="552"/>
      <c r="I801" s="552"/>
      <c r="J801" s="552"/>
      <c r="K801" s="553"/>
      <c r="L801" s="554"/>
      <c r="M801" s="554"/>
      <c r="N801" s="554"/>
      <c r="O801" s="555"/>
      <c r="P801" s="555"/>
    </row>
    <row r="802" spans="1:16" ht="21.75" customHeight="1" x14ac:dyDescent="0.25">
      <c r="A802" s="551"/>
      <c r="B802" s="551"/>
      <c r="C802" s="551"/>
      <c r="D802" s="551"/>
      <c r="E802" s="552"/>
      <c r="F802" s="552"/>
      <c r="G802" s="552"/>
      <c r="H802" s="552"/>
      <c r="I802" s="552"/>
      <c r="J802" s="552"/>
      <c r="K802" s="553"/>
      <c r="L802" s="554"/>
      <c r="M802" s="554"/>
      <c r="N802" s="554"/>
      <c r="O802" s="555"/>
      <c r="P802" s="555"/>
    </row>
    <row r="803" spans="1:16" ht="21.75" customHeight="1" x14ac:dyDescent="0.25">
      <c r="A803" s="551"/>
      <c r="B803" s="551"/>
      <c r="C803" s="551"/>
      <c r="D803" s="551"/>
      <c r="E803" s="552"/>
      <c r="F803" s="552"/>
      <c r="G803" s="552"/>
      <c r="H803" s="552"/>
      <c r="I803" s="552"/>
      <c r="J803" s="552"/>
      <c r="K803" s="553"/>
      <c r="L803" s="554"/>
      <c r="M803" s="554"/>
      <c r="N803" s="554"/>
      <c r="O803" s="555"/>
      <c r="P803" s="555"/>
    </row>
    <row r="804" spans="1:16" ht="21.75" customHeight="1" x14ac:dyDescent="0.25">
      <c r="A804" s="551"/>
      <c r="B804" s="551"/>
      <c r="C804" s="551"/>
      <c r="D804" s="551"/>
      <c r="E804" s="552"/>
      <c r="F804" s="552"/>
      <c r="G804" s="552"/>
      <c r="H804" s="552"/>
      <c r="I804" s="552"/>
      <c r="J804" s="552"/>
      <c r="K804" s="553"/>
      <c r="L804" s="554"/>
      <c r="M804" s="554"/>
      <c r="N804" s="554"/>
      <c r="O804" s="555"/>
      <c r="P804" s="555"/>
    </row>
    <row r="805" spans="1:16" ht="21.75" customHeight="1" x14ac:dyDescent="0.25">
      <c r="A805" s="551"/>
      <c r="B805" s="551"/>
      <c r="C805" s="551"/>
      <c r="D805" s="551"/>
      <c r="E805" s="552"/>
      <c r="F805" s="552"/>
      <c r="G805" s="552"/>
      <c r="H805" s="552"/>
      <c r="I805" s="552"/>
      <c r="J805" s="552"/>
      <c r="K805" s="553"/>
      <c r="L805" s="554"/>
      <c r="M805" s="554"/>
      <c r="N805" s="554"/>
      <c r="O805" s="555"/>
      <c r="P805" s="555"/>
    </row>
    <row r="806" spans="1:16" ht="21.75" customHeight="1" x14ac:dyDescent="0.25">
      <c r="A806" s="551"/>
      <c r="B806" s="551"/>
      <c r="C806" s="551"/>
      <c r="D806" s="551"/>
      <c r="E806" s="552"/>
      <c r="F806" s="552"/>
      <c r="G806" s="552"/>
      <c r="H806" s="552"/>
      <c r="I806" s="552"/>
      <c r="J806" s="552"/>
      <c r="K806" s="553"/>
      <c r="L806" s="554"/>
      <c r="M806" s="554"/>
      <c r="N806" s="554"/>
      <c r="O806" s="555"/>
      <c r="P806" s="555"/>
    </row>
    <row r="807" spans="1:16" ht="21.75" customHeight="1" x14ac:dyDescent="0.25">
      <c r="A807" s="551"/>
      <c r="B807" s="551"/>
      <c r="C807" s="551"/>
      <c r="D807" s="551"/>
      <c r="E807" s="552"/>
      <c r="F807" s="552"/>
      <c r="G807" s="552"/>
      <c r="H807" s="552"/>
      <c r="I807" s="552"/>
      <c r="J807" s="552"/>
      <c r="K807" s="553"/>
      <c r="L807" s="554"/>
      <c r="M807" s="554"/>
      <c r="N807" s="554"/>
      <c r="O807" s="555"/>
      <c r="P807" s="555"/>
    </row>
    <row r="808" spans="1:16" ht="21.75" customHeight="1" x14ac:dyDescent="0.25">
      <c r="A808" s="551"/>
      <c r="B808" s="551"/>
      <c r="C808" s="551"/>
      <c r="D808" s="551"/>
      <c r="E808" s="552"/>
      <c r="F808" s="552"/>
      <c r="G808" s="552"/>
      <c r="H808" s="552"/>
      <c r="I808" s="552"/>
      <c r="J808" s="552"/>
      <c r="K808" s="553"/>
      <c r="L808" s="554"/>
      <c r="M808" s="554"/>
      <c r="N808" s="554"/>
      <c r="O808" s="555"/>
      <c r="P808" s="555"/>
    </row>
    <row r="809" spans="1:16" ht="21.75" customHeight="1" x14ac:dyDescent="0.25">
      <c r="A809" s="551"/>
      <c r="B809" s="551"/>
      <c r="C809" s="551"/>
      <c r="D809" s="551"/>
      <c r="E809" s="552"/>
      <c r="F809" s="552"/>
      <c r="G809" s="552"/>
      <c r="H809" s="552"/>
      <c r="I809" s="552"/>
      <c r="J809" s="552"/>
      <c r="K809" s="553"/>
      <c r="L809" s="554"/>
      <c r="M809" s="554"/>
      <c r="N809" s="554"/>
      <c r="O809" s="555"/>
      <c r="P809" s="555"/>
    </row>
    <row r="810" spans="1:16" ht="21.75" customHeight="1" x14ac:dyDescent="0.25">
      <c r="A810" s="551"/>
      <c r="B810" s="551"/>
      <c r="C810" s="551"/>
      <c r="D810" s="551"/>
      <c r="E810" s="552"/>
      <c r="F810" s="552"/>
      <c r="G810" s="552"/>
      <c r="H810" s="552"/>
      <c r="I810" s="552"/>
      <c r="J810" s="552"/>
      <c r="K810" s="553"/>
      <c r="L810" s="554"/>
      <c r="M810" s="554"/>
      <c r="N810" s="554"/>
      <c r="O810" s="555"/>
      <c r="P810" s="555"/>
    </row>
    <row r="811" spans="1:16" ht="21.75" customHeight="1" x14ac:dyDescent="0.25">
      <c r="A811" s="551"/>
      <c r="B811" s="551"/>
      <c r="C811" s="551"/>
      <c r="D811" s="551"/>
      <c r="E811" s="552"/>
      <c r="F811" s="552"/>
      <c r="G811" s="552"/>
      <c r="H811" s="552"/>
      <c r="I811" s="552"/>
      <c r="J811" s="552"/>
      <c r="K811" s="553"/>
      <c r="L811" s="554"/>
      <c r="M811" s="554"/>
      <c r="N811" s="554"/>
      <c r="O811" s="555"/>
      <c r="P811" s="555"/>
    </row>
    <row r="812" spans="1:16" ht="21.75" customHeight="1" x14ac:dyDescent="0.25">
      <c r="A812" s="551"/>
      <c r="B812" s="551"/>
      <c r="C812" s="551"/>
      <c r="D812" s="551"/>
      <c r="E812" s="552"/>
      <c r="F812" s="552"/>
      <c r="G812" s="552"/>
      <c r="H812" s="552"/>
      <c r="I812" s="552"/>
      <c r="J812" s="552"/>
      <c r="K812" s="553"/>
      <c r="L812" s="554"/>
      <c r="M812" s="554"/>
      <c r="N812" s="554"/>
      <c r="O812" s="555"/>
      <c r="P812" s="555"/>
    </row>
    <row r="813" spans="1:16" ht="21.75" customHeight="1" x14ac:dyDescent="0.25">
      <c r="A813" s="551"/>
      <c r="B813" s="551"/>
      <c r="C813" s="551"/>
      <c r="D813" s="551"/>
      <c r="E813" s="552"/>
      <c r="F813" s="552"/>
      <c r="G813" s="552"/>
      <c r="H813" s="552"/>
      <c r="I813" s="552"/>
      <c r="J813" s="552"/>
      <c r="K813" s="553"/>
      <c r="L813" s="554"/>
      <c r="M813" s="554"/>
      <c r="N813" s="554"/>
      <c r="O813" s="555"/>
      <c r="P813" s="555"/>
    </row>
    <row r="814" spans="1:16" ht="21.75" customHeight="1" x14ac:dyDescent="0.25">
      <c r="A814" s="551"/>
      <c r="B814" s="551"/>
      <c r="C814" s="551"/>
      <c r="D814" s="551"/>
      <c r="E814" s="552"/>
      <c r="F814" s="552"/>
      <c r="G814" s="552"/>
      <c r="H814" s="552"/>
      <c r="I814" s="552"/>
      <c r="J814" s="552"/>
      <c r="K814" s="553"/>
      <c r="L814" s="554"/>
      <c r="M814" s="554"/>
      <c r="N814" s="554"/>
      <c r="O814" s="555"/>
      <c r="P814" s="555"/>
    </row>
    <row r="815" spans="1:16" ht="21.75" customHeight="1" x14ac:dyDescent="0.25">
      <c r="A815" s="551"/>
      <c r="B815" s="551"/>
      <c r="C815" s="551"/>
      <c r="D815" s="551"/>
      <c r="E815" s="552"/>
      <c r="F815" s="552"/>
      <c r="G815" s="552"/>
      <c r="H815" s="552"/>
      <c r="I815" s="552"/>
      <c r="J815" s="552"/>
      <c r="K815" s="553"/>
      <c r="L815" s="554"/>
      <c r="M815" s="554"/>
      <c r="N815" s="554"/>
      <c r="O815" s="555"/>
      <c r="P815" s="555"/>
    </row>
    <row r="816" spans="1:16" ht="21.75" customHeight="1" x14ac:dyDescent="0.25">
      <c r="A816" s="551"/>
      <c r="B816" s="551"/>
      <c r="C816" s="551"/>
      <c r="D816" s="551"/>
      <c r="E816" s="552"/>
      <c r="F816" s="552"/>
      <c r="G816" s="552"/>
      <c r="H816" s="552"/>
      <c r="I816" s="552"/>
      <c r="J816" s="552"/>
      <c r="K816" s="553"/>
      <c r="L816" s="554"/>
      <c r="M816" s="554"/>
      <c r="N816" s="554"/>
      <c r="O816" s="555"/>
      <c r="P816" s="555"/>
    </row>
    <row r="817" spans="1:16" ht="21.75" customHeight="1" x14ac:dyDescent="0.25">
      <c r="A817" s="551"/>
      <c r="B817" s="551"/>
      <c r="C817" s="551"/>
      <c r="D817" s="551"/>
      <c r="E817" s="552"/>
      <c r="F817" s="552"/>
      <c r="G817" s="552"/>
      <c r="H817" s="552"/>
      <c r="I817" s="552"/>
      <c r="J817" s="552"/>
      <c r="K817" s="553"/>
      <c r="L817" s="554"/>
      <c r="M817" s="554"/>
      <c r="N817" s="554"/>
      <c r="O817" s="555"/>
      <c r="P817" s="555"/>
    </row>
    <row r="818" spans="1:16" ht="21.75" customHeight="1" x14ac:dyDescent="0.25">
      <c r="A818" s="551"/>
      <c r="B818" s="551"/>
      <c r="C818" s="551"/>
      <c r="D818" s="551"/>
      <c r="E818" s="552"/>
      <c r="F818" s="552"/>
      <c r="G818" s="552"/>
      <c r="H818" s="552"/>
      <c r="I818" s="552"/>
      <c r="J818" s="552"/>
      <c r="K818" s="553"/>
      <c r="L818" s="554"/>
      <c r="M818" s="554"/>
      <c r="N818" s="554"/>
      <c r="O818" s="555"/>
      <c r="P818" s="555"/>
    </row>
    <row r="819" spans="1:16" ht="21.75" customHeight="1" x14ac:dyDescent="0.25">
      <c r="A819" s="551"/>
      <c r="B819" s="551"/>
      <c r="C819" s="551"/>
      <c r="D819" s="551"/>
      <c r="E819" s="552"/>
      <c r="F819" s="552"/>
      <c r="G819" s="552"/>
      <c r="H819" s="552"/>
      <c r="I819" s="552"/>
      <c r="J819" s="552"/>
      <c r="K819" s="553"/>
      <c r="L819" s="554"/>
      <c r="M819" s="554"/>
      <c r="N819" s="554"/>
      <c r="O819" s="555"/>
      <c r="P819" s="555"/>
    </row>
    <row r="820" spans="1:16" ht="21.75" customHeight="1" x14ac:dyDescent="0.25">
      <c r="A820" s="551"/>
      <c r="B820" s="551"/>
      <c r="C820" s="551"/>
      <c r="D820" s="551"/>
      <c r="E820" s="552"/>
      <c r="F820" s="552"/>
      <c r="G820" s="552"/>
      <c r="H820" s="552"/>
      <c r="I820" s="552"/>
      <c r="J820" s="552"/>
      <c r="K820" s="553"/>
      <c r="L820" s="554"/>
      <c r="M820" s="554"/>
      <c r="N820" s="554"/>
      <c r="O820" s="555"/>
      <c r="P820" s="555"/>
    </row>
    <row r="821" spans="1:16" ht="21.75" customHeight="1" x14ac:dyDescent="0.25">
      <c r="A821" s="551"/>
      <c r="B821" s="551"/>
      <c r="C821" s="551"/>
      <c r="D821" s="551"/>
      <c r="E821" s="552"/>
      <c r="F821" s="552"/>
      <c r="G821" s="552"/>
      <c r="H821" s="552"/>
      <c r="I821" s="552"/>
      <c r="J821" s="552"/>
      <c r="K821" s="553"/>
      <c r="L821" s="554"/>
      <c r="M821" s="554"/>
      <c r="N821" s="554"/>
      <c r="O821" s="555"/>
      <c r="P821" s="555"/>
    </row>
    <row r="822" spans="1:16" ht="21.75" customHeight="1" x14ac:dyDescent="0.25">
      <c r="A822" s="551"/>
      <c r="B822" s="551"/>
      <c r="C822" s="551"/>
      <c r="D822" s="551"/>
      <c r="E822" s="552"/>
      <c r="F822" s="552"/>
      <c r="G822" s="552"/>
      <c r="H822" s="552"/>
      <c r="I822" s="552"/>
      <c r="J822" s="552"/>
      <c r="K822" s="553"/>
      <c r="L822" s="554"/>
      <c r="M822" s="554"/>
      <c r="N822" s="554"/>
      <c r="O822" s="555"/>
      <c r="P822" s="555"/>
    </row>
    <row r="823" spans="1:16" ht="21.75" customHeight="1" x14ac:dyDescent="0.25">
      <c r="A823" s="551"/>
      <c r="B823" s="551"/>
      <c r="C823" s="551"/>
      <c r="D823" s="551"/>
      <c r="E823" s="552"/>
      <c r="F823" s="552"/>
      <c r="G823" s="552"/>
      <c r="H823" s="552"/>
      <c r="I823" s="552"/>
      <c r="J823" s="552"/>
      <c r="K823" s="553"/>
      <c r="L823" s="554"/>
      <c r="M823" s="554"/>
      <c r="N823" s="554"/>
      <c r="O823" s="555"/>
      <c r="P823" s="555"/>
    </row>
    <row r="824" spans="1:16" ht="21.75" customHeight="1" x14ac:dyDescent="0.25">
      <c r="A824" s="551"/>
      <c r="B824" s="551"/>
      <c r="C824" s="551"/>
      <c r="D824" s="551"/>
      <c r="E824" s="552"/>
      <c r="F824" s="552"/>
      <c r="G824" s="552"/>
      <c r="H824" s="552"/>
      <c r="I824" s="552"/>
      <c r="J824" s="552"/>
      <c r="K824" s="553"/>
      <c r="L824" s="554"/>
      <c r="M824" s="554"/>
      <c r="N824" s="554"/>
      <c r="O824" s="555"/>
      <c r="P824" s="555"/>
    </row>
    <row r="825" spans="1:16" ht="21.75" customHeight="1" x14ac:dyDescent="0.25">
      <c r="A825" s="551"/>
      <c r="B825" s="551"/>
      <c r="C825" s="551"/>
      <c r="D825" s="551"/>
      <c r="E825" s="552"/>
      <c r="F825" s="552"/>
      <c r="G825" s="552"/>
      <c r="H825" s="552"/>
      <c r="I825" s="552"/>
      <c r="J825" s="552"/>
      <c r="K825" s="553"/>
      <c r="L825" s="554"/>
      <c r="M825" s="554"/>
      <c r="N825" s="554"/>
      <c r="O825" s="555"/>
      <c r="P825" s="555"/>
    </row>
    <row r="826" spans="1:16" ht="21.75" customHeight="1" x14ac:dyDescent="0.25">
      <c r="A826" s="551"/>
      <c r="B826" s="551"/>
      <c r="C826" s="551"/>
      <c r="D826" s="551"/>
      <c r="E826" s="552"/>
      <c r="F826" s="552"/>
      <c r="G826" s="552"/>
      <c r="H826" s="552"/>
      <c r="I826" s="552"/>
      <c r="J826" s="552"/>
      <c r="K826" s="553"/>
      <c r="L826" s="554"/>
      <c r="M826" s="554"/>
      <c r="N826" s="554"/>
      <c r="O826" s="555"/>
      <c r="P826" s="555"/>
    </row>
    <row r="827" spans="1:16" ht="21.75" customHeight="1" x14ac:dyDescent="0.25">
      <c r="A827" s="551"/>
      <c r="B827" s="551"/>
      <c r="C827" s="551"/>
      <c r="D827" s="551"/>
      <c r="E827" s="552"/>
      <c r="F827" s="552"/>
      <c r="G827" s="552"/>
      <c r="H827" s="552"/>
      <c r="I827" s="552"/>
      <c r="J827" s="552"/>
      <c r="K827" s="553"/>
      <c r="L827" s="554"/>
      <c r="M827" s="554"/>
      <c r="N827" s="554"/>
      <c r="O827" s="555"/>
      <c r="P827" s="555"/>
    </row>
    <row r="828" spans="1:16" ht="21.75" customHeight="1" x14ac:dyDescent="0.25">
      <c r="A828" s="551"/>
      <c r="B828" s="551"/>
      <c r="C828" s="551"/>
      <c r="D828" s="551"/>
      <c r="E828" s="552"/>
      <c r="F828" s="552"/>
      <c r="G828" s="552"/>
      <c r="H828" s="552"/>
      <c r="I828" s="552"/>
      <c r="J828" s="552"/>
      <c r="K828" s="553"/>
      <c r="L828" s="554"/>
      <c r="M828" s="554"/>
      <c r="N828" s="554"/>
      <c r="O828" s="555"/>
      <c r="P828" s="555"/>
    </row>
    <row r="829" spans="1:16" ht="21.75" customHeight="1" x14ac:dyDescent="0.25">
      <c r="A829" s="551"/>
      <c r="B829" s="551"/>
      <c r="C829" s="551"/>
      <c r="D829" s="551"/>
      <c r="E829" s="552"/>
      <c r="F829" s="552"/>
      <c r="G829" s="552"/>
      <c r="H829" s="552"/>
      <c r="I829" s="552"/>
      <c r="J829" s="552"/>
      <c r="K829" s="553"/>
      <c r="L829" s="554"/>
      <c r="M829" s="554"/>
      <c r="N829" s="554"/>
      <c r="O829" s="555"/>
      <c r="P829" s="555"/>
    </row>
    <row r="830" spans="1:16" ht="21.75" customHeight="1" x14ac:dyDescent="0.25">
      <c r="A830" s="551"/>
      <c r="B830" s="551"/>
      <c r="C830" s="551"/>
      <c r="D830" s="551"/>
      <c r="E830" s="552"/>
      <c r="F830" s="552"/>
      <c r="G830" s="552"/>
      <c r="H830" s="552"/>
      <c r="I830" s="552"/>
      <c r="J830" s="552"/>
      <c r="K830" s="553"/>
      <c r="L830" s="554"/>
      <c r="M830" s="554"/>
      <c r="N830" s="554"/>
      <c r="O830" s="555"/>
      <c r="P830" s="555"/>
    </row>
    <row r="831" spans="1:16" ht="21.75" customHeight="1" x14ac:dyDescent="0.25">
      <c r="A831" s="551"/>
      <c r="B831" s="551"/>
      <c r="C831" s="551"/>
      <c r="D831" s="551"/>
      <c r="E831" s="552"/>
      <c r="F831" s="552"/>
      <c r="G831" s="552"/>
      <c r="H831" s="552"/>
      <c r="I831" s="552"/>
      <c r="J831" s="552"/>
      <c r="K831" s="553"/>
      <c r="L831" s="554"/>
      <c r="M831" s="554"/>
      <c r="N831" s="554"/>
      <c r="O831" s="555"/>
      <c r="P831" s="555"/>
    </row>
    <row r="832" spans="1:16" ht="21.75" customHeight="1" x14ac:dyDescent="0.25">
      <c r="A832" s="551"/>
      <c r="B832" s="551"/>
      <c r="C832" s="551"/>
      <c r="D832" s="551"/>
      <c r="E832" s="552"/>
      <c r="F832" s="552"/>
      <c r="G832" s="552"/>
      <c r="H832" s="552"/>
      <c r="I832" s="552"/>
      <c r="J832" s="552"/>
      <c r="K832" s="553"/>
      <c r="L832" s="554"/>
      <c r="M832" s="554"/>
      <c r="N832" s="554"/>
      <c r="O832" s="555"/>
      <c r="P832" s="555"/>
    </row>
    <row r="833" spans="1:16" ht="21.75" customHeight="1" x14ac:dyDescent="0.25">
      <c r="A833" s="551"/>
      <c r="B833" s="551"/>
      <c r="C833" s="551"/>
      <c r="D833" s="551"/>
      <c r="E833" s="552"/>
      <c r="F833" s="552"/>
      <c r="G833" s="552"/>
      <c r="H833" s="552"/>
      <c r="I833" s="552"/>
      <c r="J833" s="552"/>
      <c r="K833" s="553"/>
      <c r="L833" s="554"/>
      <c r="M833" s="554"/>
      <c r="N833" s="554"/>
      <c r="O833" s="555"/>
      <c r="P833" s="555"/>
    </row>
    <row r="834" spans="1:16" ht="21.75" customHeight="1" x14ac:dyDescent="0.25">
      <c r="A834" s="551"/>
      <c r="B834" s="551"/>
      <c r="C834" s="551"/>
      <c r="D834" s="551"/>
      <c r="E834" s="552"/>
      <c r="F834" s="552"/>
      <c r="G834" s="552"/>
      <c r="H834" s="552"/>
      <c r="I834" s="552"/>
      <c r="J834" s="552"/>
      <c r="K834" s="553"/>
      <c r="L834" s="554"/>
      <c r="M834" s="554"/>
      <c r="N834" s="554"/>
      <c r="O834" s="555"/>
      <c r="P834" s="555"/>
    </row>
    <row r="835" spans="1:16" ht="21.75" customHeight="1" x14ac:dyDescent="0.25">
      <c r="A835" s="551"/>
      <c r="B835" s="551"/>
      <c r="C835" s="551"/>
      <c r="D835" s="551"/>
      <c r="E835" s="552"/>
      <c r="F835" s="552"/>
      <c r="G835" s="552"/>
      <c r="H835" s="552"/>
      <c r="I835" s="552"/>
      <c r="J835" s="552"/>
      <c r="K835" s="553"/>
      <c r="L835" s="554"/>
      <c r="M835" s="554"/>
      <c r="N835" s="554"/>
      <c r="O835" s="555"/>
      <c r="P835" s="555"/>
    </row>
    <row r="836" spans="1:16" ht="21.75" customHeight="1" x14ac:dyDescent="0.25">
      <c r="A836" s="551"/>
      <c r="B836" s="551"/>
      <c r="C836" s="551"/>
      <c r="D836" s="551"/>
      <c r="E836" s="552"/>
      <c r="F836" s="552"/>
      <c r="G836" s="552"/>
      <c r="H836" s="552"/>
      <c r="I836" s="552"/>
      <c r="J836" s="552"/>
      <c r="K836" s="553"/>
      <c r="L836" s="554"/>
      <c r="M836" s="554"/>
      <c r="N836" s="554"/>
      <c r="O836" s="555"/>
      <c r="P836" s="555"/>
    </row>
    <row r="837" spans="1:16" ht="21.75" customHeight="1" x14ac:dyDescent="0.25">
      <c r="A837" s="551"/>
      <c r="B837" s="551"/>
      <c r="C837" s="551"/>
      <c r="D837" s="551"/>
      <c r="E837" s="552"/>
      <c r="F837" s="552"/>
      <c r="G837" s="552"/>
      <c r="H837" s="552"/>
      <c r="I837" s="552"/>
      <c r="J837" s="552"/>
      <c r="K837" s="553"/>
      <c r="L837" s="554"/>
      <c r="M837" s="554"/>
      <c r="N837" s="554"/>
      <c r="O837" s="555"/>
      <c r="P837" s="555"/>
    </row>
    <row r="838" spans="1:16" ht="21.75" customHeight="1" x14ac:dyDescent="0.25">
      <c r="A838" s="551"/>
      <c r="B838" s="551"/>
      <c r="C838" s="551"/>
      <c r="D838" s="551"/>
      <c r="E838" s="552"/>
      <c r="F838" s="552"/>
      <c r="G838" s="552"/>
      <c r="H838" s="552"/>
      <c r="I838" s="552"/>
      <c r="J838" s="552"/>
      <c r="K838" s="553"/>
      <c r="L838" s="554"/>
      <c r="M838" s="554"/>
      <c r="N838" s="554"/>
      <c r="O838" s="555"/>
      <c r="P838" s="555"/>
    </row>
    <row r="839" spans="1:16" ht="21.75" customHeight="1" x14ac:dyDescent="0.25">
      <c r="A839" s="551"/>
      <c r="B839" s="551"/>
      <c r="C839" s="551"/>
      <c r="D839" s="551"/>
      <c r="E839" s="552"/>
      <c r="F839" s="552"/>
      <c r="G839" s="552"/>
      <c r="H839" s="552"/>
      <c r="I839" s="552"/>
      <c r="J839" s="552"/>
      <c r="K839" s="553"/>
      <c r="L839" s="554"/>
      <c r="M839" s="554"/>
      <c r="N839" s="554"/>
      <c r="O839" s="555"/>
      <c r="P839" s="555"/>
    </row>
    <row r="840" spans="1:16" ht="21.75" customHeight="1" x14ac:dyDescent="0.25">
      <c r="A840" s="551"/>
      <c r="B840" s="551"/>
      <c r="C840" s="551"/>
      <c r="D840" s="551"/>
      <c r="E840" s="552"/>
      <c r="F840" s="552"/>
      <c r="G840" s="552"/>
      <c r="H840" s="552"/>
      <c r="I840" s="552"/>
      <c r="J840" s="552"/>
      <c r="K840" s="553"/>
      <c r="L840" s="554"/>
      <c r="M840" s="554"/>
      <c r="N840" s="554"/>
      <c r="O840" s="555"/>
      <c r="P840" s="555"/>
    </row>
    <row r="841" spans="1:16" ht="21.75" customHeight="1" x14ac:dyDescent="0.25">
      <c r="A841" s="551"/>
      <c r="B841" s="551"/>
      <c r="C841" s="551"/>
      <c r="D841" s="551"/>
      <c r="E841" s="552"/>
      <c r="F841" s="552"/>
      <c r="G841" s="552"/>
      <c r="H841" s="552"/>
      <c r="I841" s="552"/>
      <c r="J841" s="552"/>
      <c r="K841" s="553"/>
      <c r="L841" s="554"/>
      <c r="M841" s="554"/>
      <c r="N841" s="554"/>
      <c r="O841" s="555"/>
      <c r="P841" s="555"/>
    </row>
    <row r="842" spans="1:16" ht="21.75" customHeight="1" x14ac:dyDescent="0.25">
      <c r="A842" s="551"/>
      <c r="B842" s="551"/>
      <c r="C842" s="551"/>
      <c r="D842" s="551"/>
      <c r="E842" s="552"/>
      <c r="F842" s="552"/>
      <c r="G842" s="552"/>
      <c r="H842" s="552"/>
      <c r="I842" s="552"/>
      <c r="J842" s="552"/>
      <c r="K842" s="553"/>
      <c r="L842" s="554"/>
      <c r="M842" s="554"/>
      <c r="N842" s="554"/>
      <c r="O842" s="555"/>
      <c r="P842" s="555"/>
    </row>
    <row r="843" spans="1:16" ht="21.75" customHeight="1" x14ac:dyDescent="0.25">
      <c r="A843" s="551"/>
      <c r="B843" s="551"/>
      <c r="C843" s="551"/>
      <c r="D843" s="551"/>
      <c r="E843" s="552"/>
      <c r="F843" s="552"/>
      <c r="G843" s="552"/>
      <c r="H843" s="552"/>
      <c r="I843" s="552"/>
      <c r="J843" s="552"/>
      <c r="K843" s="553"/>
      <c r="L843" s="554"/>
      <c r="M843" s="554"/>
      <c r="N843" s="554"/>
      <c r="O843" s="555"/>
      <c r="P843" s="555"/>
    </row>
    <row r="844" spans="1:16" ht="21.75" customHeight="1" x14ac:dyDescent="0.25">
      <c r="A844" s="551"/>
      <c r="B844" s="551"/>
      <c r="C844" s="551"/>
      <c r="D844" s="551"/>
      <c r="E844" s="552"/>
      <c r="F844" s="552"/>
      <c r="G844" s="552"/>
      <c r="H844" s="552"/>
      <c r="I844" s="552"/>
      <c r="J844" s="552"/>
      <c r="K844" s="553"/>
      <c r="L844" s="554"/>
      <c r="M844" s="554"/>
      <c r="N844" s="554"/>
      <c r="O844" s="555"/>
      <c r="P844" s="555"/>
    </row>
    <row r="845" spans="1:16" ht="21.75" customHeight="1" x14ac:dyDescent="0.25">
      <c r="A845" s="551"/>
      <c r="B845" s="551"/>
      <c r="C845" s="551"/>
      <c r="D845" s="551"/>
      <c r="E845" s="552"/>
      <c r="F845" s="552"/>
      <c r="G845" s="552"/>
      <c r="H845" s="552"/>
      <c r="I845" s="552"/>
      <c r="J845" s="552"/>
      <c r="K845" s="553"/>
      <c r="L845" s="554"/>
      <c r="M845" s="554"/>
      <c r="N845" s="554"/>
      <c r="O845" s="555"/>
      <c r="P845" s="555"/>
    </row>
    <row r="846" spans="1:16" ht="21.75" customHeight="1" x14ac:dyDescent="0.25">
      <c r="A846" s="551"/>
      <c r="B846" s="551"/>
      <c r="C846" s="551"/>
      <c r="D846" s="551"/>
      <c r="E846" s="552"/>
      <c r="F846" s="552"/>
      <c r="G846" s="552"/>
      <c r="H846" s="552"/>
      <c r="I846" s="552"/>
      <c r="J846" s="552"/>
      <c r="K846" s="553"/>
      <c r="L846" s="554"/>
      <c r="M846" s="554"/>
      <c r="N846" s="554"/>
      <c r="O846" s="555"/>
      <c r="P846" s="555"/>
    </row>
    <row r="847" spans="1:16" ht="21.75" customHeight="1" x14ac:dyDescent="0.25">
      <c r="A847" s="551"/>
      <c r="B847" s="551"/>
      <c r="C847" s="551"/>
      <c r="D847" s="551"/>
      <c r="E847" s="552"/>
      <c r="F847" s="552"/>
      <c r="G847" s="552"/>
      <c r="H847" s="552"/>
      <c r="I847" s="552"/>
      <c r="J847" s="552"/>
      <c r="K847" s="553"/>
      <c r="L847" s="554"/>
      <c r="M847" s="554"/>
      <c r="N847" s="554"/>
      <c r="O847" s="555"/>
      <c r="P847" s="555"/>
    </row>
    <row r="848" spans="1:16" ht="21.75" customHeight="1" x14ac:dyDescent="0.25">
      <c r="A848" s="551"/>
      <c r="B848" s="551"/>
      <c r="C848" s="551"/>
      <c r="D848" s="551"/>
      <c r="E848" s="552"/>
      <c r="F848" s="552"/>
      <c r="G848" s="552"/>
      <c r="H848" s="552"/>
      <c r="I848" s="552"/>
      <c r="J848" s="552"/>
      <c r="K848" s="553"/>
      <c r="L848" s="554"/>
      <c r="M848" s="554"/>
      <c r="N848" s="554"/>
      <c r="O848" s="555"/>
      <c r="P848" s="555"/>
    </row>
    <row r="849" spans="1:16" ht="21.75" customHeight="1" x14ac:dyDescent="0.25">
      <c r="A849" s="551"/>
      <c r="B849" s="551"/>
      <c r="C849" s="551"/>
      <c r="D849" s="551"/>
      <c r="E849" s="552"/>
      <c r="F849" s="552"/>
      <c r="G849" s="552"/>
      <c r="H849" s="552"/>
      <c r="I849" s="552"/>
      <c r="J849" s="552"/>
      <c r="K849" s="553"/>
      <c r="L849" s="554"/>
      <c r="M849" s="554"/>
      <c r="N849" s="554"/>
      <c r="O849" s="555"/>
      <c r="P849" s="555"/>
    </row>
    <row r="850" spans="1:16" ht="21.75" customHeight="1" x14ac:dyDescent="0.25">
      <c r="A850" s="551"/>
      <c r="B850" s="551"/>
      <c r="C850" s="551"/>
      <c r="D850" s="551"/>
      <c r="E850" s="552"/>
      <c r="F850" s="552"/>
      <c r="G850" s="552"/>
      <c r="H850" s="552"/>
      <c r="I850" s="552"/>
      <c r="J850" s="552"/>
      <c r="K850" s="553"/>
      <c r="L850" s="554"/>
      <c r="M850" s="554"/>
      <c r="N850" s="554"/>
      <c r="O850" s="555"/>
      <c r="P850" s="555"/>
    </row>
    <row r="851" spans="1:16" ht="21.75" customHeight="1" x14ac:dyDescent="0.25">
      <c r="A851" s="551"/>
      <c r="B851" s="551"/>
      <c r="C851" s="551"/>
      <c r="D851" s="551"/>
      <c r="E851" s="552"/>
      <c r="F851" s="552"/>
      <c r="G851" s="552"/>
      <c r="H851" s="552"/>
      <c r="I851" s="552"/>
      <c r="J851" s="552"/>
      <c r="K851" s="553"/>
      <c r="L851" s="554"/>
      <c r="M851" s="554"/>
      <c r="N851" s="554"/>
      <c r="O851" s="555"/>
      <c r="P851" s="555"/>
    </row>
    <row r="852" spans="1:16" ht="21.75" customHeight="1" x14ac:dyDescent="0.25">
      <c r="A852" s="551"/>
      <c r="B852" s="551"/>
      <c r="C852" s="551"/>
      <c r="D852" s="551"/>
      <c r="E852" s="552"/>
      <c r="F852" s="552"/>
      <c r="G852" s="552"/>
      <c r="H852" s="552"/>
      <c r="I852" s="552"/>
      <c r="J852" s="552"/>
      <c r="K852" s="553"/>
      <c r="L852" s="554"/>
      <c r="M852" s="554"/>
      <c r="N852" s="554"/>
      <c r="O852" s="555"/>
      <c r="P852" s="555"/>
    </row>
    <row r="853" spans="1:16" ht="21.75" customHeight="1" x14ac:dyDescent="0.25">
      <c r="A853" s="551"/>
      <c r="B853" s="551"/>
      <c r="C853" s="551"/>
      <c r="D853" s="551"/>
      <c r="E853" s="552"/>
      <c r="F853" s="552"/>
      <c r="G853" s="552"/>
      <c r="H853" s="552"/>
      <c r="I853" s="552"/>
      <c r="J853" s="552"/>
      <c r="K853" s="553"/>
      <c r="L853" s="554"/>
      <c r="M853" s="554"/>
      <c r="N853" s="554"/>
      <c r="O853" s="555"/>
      <c r="P853" s="555"/>
    </row>
    <row r="854" spans="1:16" ht="21.75" customHeight="1" x14ac:dyDescent="0.25">
      <c r="A854" s="551"/>
      <c r="B854" s="551"/>
      <c r="C854" s="551"/>
      <c r="D854" s="551"/>
      <c r="E854" s="552"/>
      <c r="F854" s="552"/>
      <c r="G854" s="552"/>
      <c r="H854" s="552"/>
      <c r="I854" s="552"/>
      <c r="J854" s="552"/>
      <c r="K854" s="553"/>
      <c r="L854" s="554"/>
      <c r="M854" s="554"/>
      <c r="N854" s="554"/>
      <c r="O854" s="555"/>
      <c r="P854" s="555"/>
    </row>
    <row r="855" spans="1:16" ht="21.75" customHeight="1" x14ac:dyDescent="0.25">
      <c r="A855" s="551"/>
      <c r="B855" s="551"/>
      <c r="C855" s="551"/>
      <c r="D855" s="551"/>
      <c r="E855" s="552"/>
      <c r="F855" s="552"/>
      <c r="G855" s="552"/>
      <c r="H855" s="552"/>
      <c r="I855" s="552"/>
      <c r="J855" s="552"/>
      <c r="K855" s="553"/>
      <c r="L855" s="554"/>
      <c r="M855" s="554"/>
      <c r="N855" s="554"/>
      <c r="O855" s="555"/>
      <c r="P855" s="555"/>
    </row>
    <row r="856" spans="1:16" ht="21.75" customHeight="1" x14ac:dyDescent="0.25">
      <c r="A856" s="551"/>
      <c r="B856" s="551"/>
      <c r="C856" s="551"/>
      <c r="D856" s="551"/>
      <c r="E856" s="552"/>
      <c r="F856" s="552"/>
      <c r="G856" s="552"/>
      <c r="H856" s="552"/>
      <c r="I856" s="552"/>
      <c r="J856" s="552"/>
      <c r="K856" s="553"/>
      <c r="L856" s="554"/>
      <c r="M856" s="554"/>
      <c r="N856" s="554"/>
      <c r="O856" s="555"/>
      <c r="P856" s="555"/>
    </row>
    <row r="857" spans="1:16" ht="21.75" customHeight="1" x14ac:dyDescent="0.25">
      <c r="A857" s="551"/>
      <c r="B857" s="551"/>
      <c r="C857" s="551"/>
      <c r="D857" s="551"/>
      <c r="E857" s="552"/>
      <c r="F857" s="552"/>
      <c r="G857" s="552"/>
      <c r="H857" s="552"/>
      <c r="I857" s="552"/>
      <c r="J857" s="552"/>
      <c r="K857" s="553"/>
      <c r="L857" s="554"/>
      <c r="M857" s="554"/>
      <c r="N857" s="554"/>
      <c r="O857" s="555"/>
      <c r="P857" s="555"/>
    </row>
    <row r="858" spans="1:16" ht="21.75" customHeight="1" x14ac:dyDescent="0.25">
      <c r="A858" s="551"/>
      <c r="B858" s="551"/>
      <c r="C858" s="551"/>
      <c r="D858" s="551"/>
      <c r="E858" s="552"/>
      <c r="F858" s="552"/>
      <c r="G858" s="552"/>
      <c r="H858" s="552"/>
      <c r="I858" s="552"/>
      <c r="J858" s="552"/>
      <c r="K858" s="553"/>
      <c r="L858" s="554"/>
      <c r="M858" s="554"/>
      <c r="N858" s="554"/>
      <c r="O858" s="555"/>
      <c r="P858" s="555"/>
    </row>
    <row r="859" spans="1:16" ht="21.75" customHeight="1" x14ac:dyDescent="0.25">
      <c r="A859" s="551"/>
      <c r="B859" s="551"/>
      <c r="C859" s="551"/>
      <c r="D859" s="551"/>
      <c r="E859" s="552"/>
      <c r="F859" s="552"/>
      <c r="G859" s="552"/>
      <c r="H859" s="552"/>
      <c r="I859" s="552"/>
      <c r="J859" s="552"/>
      <c r="K859" s="553"/>
      <c r="L859" s="554"/>
      <c r="M859" s="554"/>
      <c r="N859" s="554"/>
      <c r="O859" s="555"/>
      <c r="P859" s="555"/>
    </row>
    <row r="860" spans="1:16" ht="21.75" customHeight="1" x14ac:dyDescent="0.25">
      <c r="A860" s="551"/>
      <c r="B860" s="551"/>
      <c r="C860" s="551"/>
      <c r="D860" s="551"/>
      <c r="E860" s="552"/>
      <c r="F860" s="552"/>
      <c r="G860" s="552"/>
      <c r="H860" s="552"/>
      <c r="I860" s="552"/>
      <c r="J860" s="552"/>
      <c r="K860" s="553"/>
      <c r="L860" s="554"/>
      <c r="M860" s="554"/>
      <c r="N860" s="554"/>
      <c r="O860" s="555"/>
      <c r="P860" s="555"/>
    </row>
    <row r="861" spans="1:16" ht="21.75" customHeight="1" x14ac:dyDescent="0.25">
      <c r="A861" s="551"/>
      <c r="B861" s="551"/>
      <c r="C861" s="551"/>
      <c r="D861" s="551"/>
      <c r="E861" s="552"/>
      <c r="F861" s="552"/>
      <c r="G861" s="552"/>
      <c r="H861" s="552"/>
      <c r="I861" s="552"/>
      <c r="J861" s="552"/>
      <c r="K861" s="553"/>
      <c r="L861" s="554"/>
      <c r="M861" s="554"/>
      <c r="N861" s="554"/>
      <c r="O861" s="555"/>
      <c r="P861" s="555"/>
    </row>
    <row r="862" spans="1:16" ht="21.75" customHeight="1" x14ac:dyDescent="0.25">
      <c r="A862" s="551"/>
      <c r="B862" s="551"/>
      <c r="C862" s="551"/>
      <c r="D862" s="551"/>
      <c r="E862" s="552"/>
      <c r="F862" s="552"/>
      <c r="G862" s="552"/>
      <c r="H862" s="552"/>
      <c r="I862" s="552"/>
      <c r="J862" s="552"/>
      <c r="K862" s="553"/>
      <c r="L862" s="554"/>
      <c r="M862" s="554"/>
      <c r="N862" s="554"/>
      <c r="O862" s="555"/>
      <c r="P862" s="555"/>
    </row>
    <row r="863" spans="1:16" ht="21.75" customHeight="1" x14ac:dyDescent="0.25">
      <c r="A863" s="551"/>
      <c r="B863" s="551"/>
      <c r="C863" s="551"/>
      <c r="D863" s="551"/>
      <c r="E863" s="552"/>
      <c r="F863" s="552"/>
      <c r="G863" s="552"/>
      <c r="H863" s="552"/>
      <c r="I863" s="552"/>
      <c r="J863" s="552"/>
      <c r="K863" s="553"/>
      <c r="L863" s="554"/>
      <c r="M863" s="554"/>
      <c r="N863" s="554"/>
      <c r="O863" s="555"/>
      <c r="P863" s="555"/>
    </row>
    <row r="864" spans="1:16" ht="21.75" customHeight="1" x14ac:dyDescent="0.25">
      <c r="A864" s="551"/>
      <c r="B864" s="551"/>
      <c r="C864" s="551"/>
      <c r="D864" s="551"/>
      <c r="E864" s="552"/>
      <c r="F864" s="552"/>
      <c r="G864" s="552"/>
      <c r="H864" s="552"/>
      <c r="I864" s="552"/>
      <c r="J864" s="552"/>
      <c r="K864" s="553"/>
      <c r="L864" s="554"/>
      <c r="M864" s="554"/>
      <c r="N864" s="554"/>
      <c r="O864" s="555"/>
      <c r="P864" s="555"/>
    </row>
    <row r="865" spans="1:16" ht="21.75" customHeight="1" x14ac:dyDescent="0.25">
      <c r="A865" s="551"/>
      <c r="B865" s="551"/>
      <c r="C865" s="551"/>
      <c r="D865" s="551"/>
      <c r="E865" s="552"/>
      <c r="F865" s="552"/>
      <c r="G865" s="552"/>
      <c r="H865" s="552"/>
      <c r="I865" s="552"/>
      <c r="J865" s="552"/>
      <c r="K865" s="553"/>
      <c r="L865" s="554"/>
      <c r="M865" s="554"/>
      <c r="N865" s="554"/>
      <c r="O865" s="555"/>
      <c r="P865" s="555"/>
    </row>
    <row r="866" spans="1:16" ht="21.75" customHeight="1" x14ac:dyDescent="0.25">
      <c r="A866" s="551"/>
      <c r="B866" s="551"/>
      <c r="C866" s="551"/>
      <c r="D866" s="551"/>
      <c r="E866" s="552"/>
      <c r="F866" s="552"/>
      <c r="G866" s="552"/>
      <c r="H866" s="552"/>
      <c r="I866" s="552"/>
      <c r="J866" s="552"/>
      <c r="K866" s="553"/>
      <c r="L866" s="554"/>
      <c r="M866" s="554"/>
      <c r="N866" s="554"/>
      <c r="O866" s="555"/>
      <c r="P866" s="555"/>
    </row>
    <row r="867" spans="1:16" ht="21.75" customHeight="1" x14ac:dyDescent="0.25">
      <c r="A867" s="551"/>
      <c r="B867" s="551"/>
      <c r="C867" s="551"/>
      <c r="D867" s="551"/>
      <c r="E867" s="552"/>
      <c r="F867" s="552"/>
      <c r="G867" s="552"/>
      <c r="H867" s="552"/>
      <c r="I867" s="552"/>
      <c r="J867" s="552"/>
      <c r="K867" s="553"/>
      <c r="L867" s="554"/>
      <c r="M867" s="554"/>
      <c r="N867" s="554"/>
      <c r="O867" s="555"/>
      <c r="P867" s="555"/>
    </row>
    <row r="868" spans="1:16" ht="21.75" customHeight="1" x14ac:dyDescent="0.25">
      <c r="A868" s="551"/>
      <c r="B868" s="551"/>
      <c r="C868" s="551"/>
      <c r="D868" s="551"/>
      <c r="E868" s="552"/>
      <c r="F868" s="552"/>
      <c r="G868" s="552"/>
      <c r="H868" s="552"/>
      <c r="I868" s="552"/>
      <c r="J868" s="552"/>
      <c r="K868" s="553"/>
      <c r="L868" s="554"/>
      <c r="M868" s="554"/>
      <c r="N868" s="554"/>
      <c r="O868" s="555"/>
      <c r="P868" s="555"/>
    </row>
    <row r="869" spans="1:16" ht="21.75" customHeight="1" x14ac:dyDescent="0.25">
      <c r="A869" s="551"/>
      <c r="B869" s="551"/>
      <c r="C869" s="551"/>
      <c r="D869" s="551"/>
      <c r="E869" s="552"/>
      <c r="F869" s="552"/>
      <c r="G869" s="552"/>
      <c r="H869" s="552"/>
      <c r="I869" s="552"/>
      <c r="J869" s="552"/>
      <c r="K869" s="553"/>
      <c r="L869" s="554"/>
      <c r="M869" s="554"/>
      <c r="N869" s="554"/>
      <c r="O869" s="555"/>
      <c r="P869" s="555"/>
    </row>
    <row r="870" spans="1:16" ht="21.75" customHeight="1" x14ac:dyDescent="0.25">
      <c r="A870" s="551"/>
      <c r="B870" s="551"/>
      <c r="C870" s="551"/>
      <c r="D870" s="551"/>
      <c r="E870" s="552"/>
      <c r="F870" s="552"/>
      <c r="G870" s="552"/>
      <c r="H870" s="552"/>
      <c r="I870" s="552"/>
      <c r="J870" s="552"/>
      <c r="K870" s="553"/>
      <c r="L870" s="554"/>
      <c r="M870" s="554"/>
      <c r="N870" s="554"/>
      <c r="O870" s="555"/>
      <c r="P870" s="555"/>
    </row>
    <row r="871" spans="1:16" ht="21.75" customHeight="1" x14ac:dyDescent="0.25">
      <c r="A871" s="551"/>
      <c r="B871" s="551"/>
      <c r="C871" s="551"/>
      <c r="D871" s="551"/>
      <c r="E871" s="552"/>
      <c r="F871" s="552"/>
      <c r="G871" s="552"/>
      <c r="H871" s="552"/>
      <c r="I871" s="552"/>
      <c r="J871" s="552"/>
      <c r="K871" s="553"/>
      <c r="L871" s="554"/>
      <c r="M871" s="554"/>
      <c r="N871" s="554"/>
      <c r="O871" s="555"/>
      <c r="P871" s="555"/>
    </row>
    <row r="872" spans="1:16" ht="21.75" customHeight="1" x14ac:dyDescent="0.25">
      <c r="A872" s="551"/>
      <c r="B872" s="551"/>
      <c r="C872" s="551"/>
      <c r="D872" s="551"/>
      <c r="E872" s="552"/>
      <c r="F872" s="552"/>
      <c r="G872" s="552"/>
      <c r="H872" s="552"/>
      <c r="I872" s="552"/>
      <c r="J872" s="552"/>
      <c r="K872" s="553"/>
      <c r="L872" s="554"/>
      <c r="M872" s="554"/>
      <c r="N872" s="554"/>
      <c r="O872" s="555"/>
      <c r="P872" s="555"/>
    </row>
    <row r="873" spans="1:16" ht="21.75" customHeight="1" x14ac:dyDescent="0.25">
      <c r="A873" s="551"/>
      <c r="B873" s="551"/>
      <c r="C873" s="551"/>
      <c r="D873" s="551"/>
      <c r="E873" s="552"/>
      <c r="F873" s="552"/>
      <c r="G873" s="552"/>
      <c r="H873" s="552"/>
      <c r="I873" s="552"/>
      <c r="J873" s="552"/>
      <c r="K873" s="553"/>
      <c r="L873" s="554"/>
      <c r="M873" s="554"/>
      <c r="N873" s="554"/>
      <c r="O873" s="555"/>
      <c r="P873" s="555"/>
    </row>
    <row r="874" spans="1:16" ht="21.75" customHeight="1" x14ac:dyDescent="0.25">
      <c r="A874" s="551"/>
      <c r="B874" s="551"/>
      <c r="C874" s="551"/>
      <c r="D874" s="551"/>
      <c r="E874" s="552"/>
      <c r="F874" s="552"/>
      <c r="G874" s="552"/>
      <c r="H874" s="552"/>
      <c r="I874" s="552"/>
      <c r="J874" s="552"/>
      <c r="K874" s="553"/>
      <c r="L874" s="554"/>
      <c r="M874" s="554"/>
      <c r="N874" s="554"/>
      <c r="O874" s="555"/>
      <c r="P874" s="555"/>
    </row>
    <row r="875" spans="1:16" ht="21.75" customHeight="1" x14ac:dyDescent="0.25">
      <c r="A875" s="551"/>
      <c r="B875" s="551"/>
      <c r="C875" s="551"/>
      <c r="D875" s="551"/>
      <c r="E875" s="552"/>
      <c r="F875" s="552"/>
      <c r="G875" s="552"/>
      <c r="H875" s="552"/>
      <c r="I875" s="552"/>
      <c r="J875" s="552"/>
      <c r="K875" s="553"/>
      <c r="L875" s="554"/>
      <c r="M875" s="554"/>
      <c r="N875" s="554"/>
      <c r="O875" s="555"/>
      <c r="P875" s="555"/>
    </row>
    <row r="876" spans="1:16" ht="21.75" customHeight="1" x14ac:dyDescent="0.25">
      <c r="A876" s="551"/>
      <c r="B876" s="551"/>
      <c r="C876" s="551"/>
      <c r="D876" s="551"/>
      <c r="E876" s="552"/>
      <c r="F876" s="552"/>
      <c r="G876" s="552"/>
      <c r="H876" s="552"/>
      <c r="I876" s="552"/>
      <c r="J876" s="552"/>
      <c r="K876" s="553"/>
      <c r="L876" s="554"/>
      <c r="M876" s="554"/>
      <c r="N876" s="554"/>
      <c r="O876" s="555"/>
      <c r="P876" s="555"/>
    </row>
    <row r="877" spans="1:16" ht="21.75" customHeight="1" x14ac:dyDescent="0.25">
      <c r="A877" s="551"/>
      <c r="B877" s="551"/>
      <c r="C877" s="551"/>
      <c r="D877" s="551"/>
      <c r="E877" s="552"/>
      <c r="F877" s="552"/>
      <c r="G877" s="552"/>
      <c r="H877" s="552"/>
      <c r="I877" s="552"/>
      <c r="J877" s="552"/>
      <c r="K877" s="553"/>
      <c r="L877" s="554"/>
      <c r="M877" s="554"/>
      <c r="N877" s="554"/>
      <c r="O877" s="555"/>
      <c r="P877" s="555"/>
    </row>
    <row r="878" spans="1:16" ht="21.75" customHeight="1" x14ac:dyDescent="0.25">
      <c r="A878" s="551"/>
      <c r="B878" s="551"/>
      <c r="C878" s="551"/>
      <c r="D878" s="551"/>
      <c r="E878" s="552"/>
      <c r="F878" s="552"/>
      <c r="G878" s="552"/>
      <c r="H878" s="552"/>
      <c r="I878" s="552"/>
      <c r="J878" s="552"/>
      <c r="K878" s="553"/>
      <c r="L878" s="554"/>
      <c r="M878" s="554"/>
      <c r="N878" s="554"/>
      <c r="O878" s="555"/>
      <c r="P878" s="555"/>
    </row>
    <row r="879" spans="1:16" ht="21.75" customHeight="1" x14ac:dyDescent="0.25">
      <c r="A879" s="551"/>
      <c r="B879" s="551"/>
      <c r="C879" s="551"/>
      <c r="D879" s="551"/>
      <c r="E879" s="552"/>
      <c r="F879" s="552"/>
      <c r="G879" s="552"/>
      <c r="H879" s="552"/>
      <c r="I879" s="552"/>
      <c r="J879" s="552"/>
      <c r="K879" s="553"/>
      <c r="L879" s="554"/>
      <c r="M879" s="554"/>
      <c r="N879" s="554"/>
      <c r="O879" s="555"/>
      <c r="P879" s="555"/>
    </row>
    <row r="880" spans="1:16" ht="21.75" customHeight="1" x14ac:dyDescent="0.25">
      <c r="A880" s="551"/>
      <c r="B880" s="551"/>
      <c r="C880" s="551"/>
      <c r="D880" s="551"/>
      <c r="E880" s="552"/>
      <c r="F880" s="552"/>
      <c r="G880" s="552"/>
      <c r="H880" s="552"/>
      <c r="I880" s="552"/>
      <c r="J880" s="552"/>
      <c r="K880" s="553"/>
      <c r="L880" s="554"/>
      <c r="M880" s="554"/>
      <c r="N880" s="554"/>
      <c r="O880" s="555"/>
      <c r="P880" s="555"/>
    </row>
    <row r="881" spans="1:16" ht="21.75" customHeight="1" x14ac:dyDescent="0.25">
      <c r="A881" s="551"/>
      <c r="B881" s="551"/>
      <c r="C881" s="551"/>
      <c r="D881" s="551"/>
      <c r="E881" s="552"/>
      <c r="F881" s="552"/>
      <c r="G881" s="552"/>
      <c r="H881" s="552"/>
      <c r="I881" s="552"/>
      <c r="J881" s="552"/>
      <c r="K881" s="553"/>
      <c r="L881" s="554"/>
      <c r="M881" s="554"/>
      <c r="N881" s="554"/>
      <c r="O881" s="555"/>
      <c r="P881" s="555"/>
    </row>
    <row r="882" spans="1:16" ht="21.75" customHeight="1" x14ac:dyDescent="0.25">
      <c r="A882" s="551"/>
      <c r="B882" s="551"/>
      <c r="C882" s="551"/>
      <c r="D882" s="551"/>
      <c r="E882" s="552"/>
      <c r="F882" s="552"/>
      <c r="G882" s="552"/>
      <c r="H882" s="552"/>
      <c r="I882" s="552"/>
      <c r="J882" s="552"/>
      <c r="K882" s="553"/>
      <c r="L882" s="554"/>
      <c r="M882" s="554"/>
      <c r="N882" s="554"/>
      <c r="O882" s="555"/>
      <c r="P882" s="555"/>
    </row>
    <row r="883" spans="1:16" ht="21.75" customHeight="1" x14ac:dyDescent="0.25">
      <c r="A883" s="551"/>
      <c r="B883" s="551"/>
      <c r="C883" s="551"/>
      <c r="D883" s="551"/>
      <c r="E883" s="552"/>
      <c r="F883" s="552"/>
      <c r="G883" s="552"/>
      <c r="H883" s="552"/>
      <c r="I883" s="552"/>
      <c r="J883" s="552"/>
      <c r="K883" s="553"/>
      <c r="L883" s="554"/>
      <c r="M883" s="554"/>
      <c r="N883" s="554"/>
      <c r="O883" s="555"/>
      <c r="P883" s="555"/>
    </row>
    <row r="884" spans="1:16" ht="21.75" customHeight="1" x14ac:dyDescent="0.25">
      <c r="A884" s="551"/>
      <c r="B884" s="551"/>
      <c r="C884" s="551"/>
      <c r="D884" s="551"/>
      <c r="E884" s="552"/>
      <c r="F884" s="552"/>
      <c r="G884" s="552"/>
      <c r="H884" s="552"/>
      <c r="I884" s="552"/>
      <c r="J884" s="552"/>
      <c r="K884" s="553"/>
      <c r="L884" s="554"/>
      <c r="M884" s="554"/>
      <c r="N884" s="554"/>
      <c r="O884" s="555"/>
      <c r="P884" s="555"/>
    </row>
    <row r="885" spans="1:16" ht="21.75" customHeight="1" x14ac:dyDescent="0.25">
      <c r="A885" s="551"/>
      <c r="B885" s="551"/>
      <c r="C885" s="551"/>
      <c r="D885" s="551"/>
      <c r="E885" s="552"/>
      <c r="F885" s="552"/>
      <c r="G885" s="552"/>
      <c r="H885" s="552"/>
      <c r="I885" s="552"/>
      <c r="J885" s="552"/>
      <c r="K885" s="553"/>
      <c r="L885" s="554"/>
      <c r="M885" s="554"/>
      <c r="N885" s="554"/>
      <c r="O885" s="555"/>
      <c r="P885" s="555"/>
    </row>
    <row r="886" spans="1:16" ht="21.75" customHeight="1" x14ac:dyDescent="0.25">
      <c r="A886" s="551"/>
      <c r="B886" s="551"/>
      <c r="C886" s="551"/>
      <c r="D886" s="551"/>
      <c r="E886" s="552"/>
      <c r="F886" s="552"/>
      <c r="G886" s="552"/>
      <c r="H886" s="552"/>
      <c r="I886" s="552"/>
      <c r="J886" s="552"/>
      <c r="K886" s="553"/>
      <c r="L886" s="554"/>
      <c r="M886" s="554"/>
      <c r="N886" s="554"/>
      <c r="O886" s="555"/>
      <c r="P886" s="555"/>
    </row>
    <row r="887" spans="1:16" ht="21.75" customHeight="1" x14ac:dyDescent="0.25">
      <c r="A887" s="551"/>
      <c r="B887" s="551"/>
      <c r="C887" s="551"/>
      <c r="D887" s="551"/>
      <c r="E887" s="552"/>
      <c r="F887" s="552"/>
      <c r="G887" s="552"/>
      <c r="H887" s="552"/>
      <c r="I887" s="552"/>
      <c r="J887" s="552"/>
      <c r="K887" s="553"/>
      <c r="L887" s="554"/>
      <c r="M887" s="554"/>
      <c r="N887" s="554"/>
      <c r="O887" s="555"/>
      <c r="P887" s="555"/>
    </row>
    <row r="888" spans="1:16" ht="21.75" customHeight="1" x14ac:dyDescent="0.25">
      <c r="A888" s="551"/>
      <c r="B888" s="551"/>
      <c r="C888" s="551"/>
      <c r="D888" s="551"/>
      <c r="E888" s="552"/>
      <c r="F888" s="552"/>
      <c r="G888" s="552"/>
      <c r="H888" s="552"/>
      <c r="I888" s="552"/>
      <c r="J888" s="552"/>
      <c r="K888" s="553"/>
      <c r="L888" s="554"/>
      <c r="M888" s="554"/>
      <c r="N888" s="554"/>
      <c r="O888" s="555"/>
      <c r="P888" s="555"/>
    </row>
    <row r="889" spans="1:16" ht="21.75" customHeight="1" x14ac:dyDescent="0.25">
      <c r="A889" s="551"/>
      <c r="B889" s="551"/>
      <c r="C889" s="551"/>
      <c r="D889" s="551"/>
      <c r="E889" s="552"/>
      <c r="F889" s="552"/>
      <c r="G889" s="552"/>
      <c r="H889" s="552"/>
      <c r="I889" s="552"/>
      <c r="J889" s="552"/>
      <c r="K889" s="553"/>
      <c r="L889" s="554"/>
      <c r="M889" s="554"/>
      <c r="N889" s="554"/>
      <c r="O889" s="555"/>
      <c r="P889" s="555"/>
    </row>
    <row r="890" spans="1:16" ht="21.75" customHeight="1" x14ac:dyDescent="0.25">
      <c r="A890" s="551"/>
      <c r="B890" s="551"/>
      <c r="C890" s="551"/>
      <c r="D890" s="551"/>
      <c r="E890" s="552"/>
      <c r="F890" s="552"/>
      <c r="G890" s="552"/>
      <c r="H890" s="552"/>
      <c r="I890" s="552"/>
      <c r="J890" s="552"/>
      <c r="K890" s="553"/>
      <c r="L890" s="554"/>
      <c r="M890" s="554"/>
      <c r="N890" s="554"/>
      <c r="O890" s="555"/>
      <c r="P890" s="555"/>
    </row>
    <row r="891" spans="1:16" ht="21.75" customHeight="1" x14ac:dyDescent="0.25">
      <c r="A891" s="551"/>
      <c r="B891" s="551"/>
      <c r="C891" s="551"/>
      <c r="D891" s="551"/>
      <c r="E891" s="552"/>
      <c r="F891" s="552"/>
      <c r="G891" s="552"/>
      <c r="H891" s="552"/>
      <c r="I891" s="552"/>
      <c r="J891" s="552"/>
      <c r="K891" s="553"/>
      <c r="L891" s="554"/>
      <c r="M891" s="554"/>
      <c r="N891" s="554"/>
      <c r="O891" s="555"/>
      <c r="P891" s="555"/>
    </row>
    <row r="892" spans="1:16" ht="21.75" customHeight="1" x14ac:dyDescent="0.25">
      <c r="A892" s="551"/>
      <c r="B892" s="551"/>
      <c r="C892" s="551"/>
      <c r="D892" s="551"/>
      <c r="E892" s="552"/>
      <c r="F892" s="552"/>
      <c r="G892" s="552"/>
      <c r="H892" s="552"/>
      <c r="I892" s="552"/>
      <c r="J892" s="552"/>
      <c r="K892" s="553"/>
      <c r="L892" s="554"/>
      <c r="M892" s="554"/>
      <c r="N892" s="554"/>
      <c r="O892" s="555"/>
      <c r="P892" s="555"/>
    </row>
    <row r="893" spans="1:16" ht="21.75" customHeight="1" x14ac:dyDescent="0.25">
      <c r="A893" s="551"/>
      <c r="B893" s="551"/>
      <c r="C893" s="551"/>
      <c r="D893" s="551"/>
      <c r="E893" s="552"/>
      <c r="F893" s="552"/>
      <c r="G893" s="552"/>
      <c r="H893" s="552"/>
      <c r="I893" s="552"/>
      <c r="J893" s="552"/>
      <c r="K893" s="553"/>
      <c r="L893" s="554"/>
      <c r="M893" s="554"/>
      <c r="N893" s="554"/>
      <c r="O893" s="555"/>
      <c r="P893" s="555"/>
    </row>
    <row r="894" spans="1:16" ht="21.75" customHeight="1" x14ac:dyDescent="0.25">
      <c r="A894" s="551"/>
      <c r="B894" s="551"/>
      <c r="C894" s="551"/>
      <c r="D894" s="551"/>
      <c r="E894" s="552"/>
      <c r="F894" s="552"/>
      <c r="G894" s="552"/>
      <c r="H894" s="552"/>
      <c r="I894" s="552"/>
      <c r="J894" s="552"/>
      <c r="K894" s="553"/>
      <c r="L894" s="554"/>
      <c r="M894" s="554"/>
      <c r="N894" s="554"/>
      <c r="O894" s="555"/>
      <c r="P894" s="555"/>
    </row>
    <row r="895" spans="1:16" ht="21.75" customHeight="1" x14ac:dyDescent="0.25">
      <c r="A895" s="551"/>
      <c r="B895" s="551"/>
      <c r="C895" s="551"/>
      <c r="D895" s="551"/>
      <c r="E895" s="552"/>
      <c r="F895" s="552"/>
      <c r="G895" s="552"/>
      <c r="H895" s="552"/>
      <c r="I895" s="552"/>
      <c r="J895" s="552"/>
      <c r="K895" s="553"/>
      <c r="L895" s="554"/>
      <c r="M895" s="554"/>
      <c r="N895" s="554"/>
      <c r="O895" s="555"/>
      <c r="P895" s="555"/>
    </row>
    <row r="896" spans="1:16" ht="21.75" customHeight="1" x14ac:dyDescent="0.25">
      <c r="A896" s="551"/>
      <c r="B896" s="551"/>
      <c r="C896" s="551"/>
      <c r="D896" s="551"/>
      <c r="E896" s="552"/>
      <c r="F896" s="552"/>
      <c r="G896" s="552"/>
      <c r="H896" s="552"/>
      <c r="I896" s="552"/>
      <c r="J896" s="552"/>
      <c r="K896" s="553"/>
      <c r="L896" s="554"/>
      <c r="M896" s="554"/>
      <c r="N896" s="554"/>
      <c r="O896" s="555"/>
      <c r="P896" s="555"/>
    </row>
    <row r="897" spans="1:16" ht="21.75" customHeight="1" x14ac:dyDescent="0.25">
      <c r="A897" s="551"/>
      <c r="B897" s="551"/>
      <c r="C897" s="551"/>
      <c r="D897" s="551"/>
      <c r="E897" s="552"/>
      <c r="F897" s="552"/>
      <c r="G897" s="552"/>
      <c r="H897" s="552"/>
      <c r="I897" s="552"/>
      <c r="J897" s="552"/>
      <c r="K897" s="553"/>
      <c r="L897" s="554"/>
      <c r="M897" s="554"/>
      <c r="N897" s="554"/>
      <c r="O897" s="555"/>
      <c r="P897" s="555"/>
    </row>
    <row r="898" spans="1:16" ht="21.75" customHeight="1" x14ac:dyDescent="0.25">
      <c r="A898" s="551"/>
      <c r="B898" s="551"/>
      <c r="C898" s="551"/>
      <c r="D898" s="551"/>
      <c r="E898" s="552"/>
      <c r="F898" s="552"/>
      <c r="G898" s="552"/>
      <c r="H898" s="552"/>
      <c r="I898" s="552"/>
      <c r="J898" s="552"/>
      <c r="K898" s="553"/>
      <c r="L898" s="554"/>
      <c r="M898" s="554"/>
      <c r="N898" s="554"/>
      <c r="O898" s="555"/>
      <c r="P898" s="555"/>
    </row>
    <row r="899" spans="1:16" ht="21.75" customHeight="1" x14ac:dyDescent="0.25">
      <c r="A899" s="551"/>
      <c r="B899" s="551"/>
      <c r="C899" s="551"/>
      <c r="D899" s="551"/>
      <c r="E899" s="552"/>
      <c r="F899" s="552"/>
      <c r="G899" s="552"/>
      <c r="H899" s="552"/>
      <c r="I899" s="552"/>
      <c r="J899" s="552"/>
      <c r="K899" s="553"/>
      <c r="L899" s="554"/>
      <c r="M899" s="554"/>
      <c r="N899" s="554"/>
      <c r="O899" s="555"/>
      <c r="P899" s="555"/>
    </row>
    <row r="900" spans="1:16" ht="21.75" customHeight="1" x14ac:dyDescent="0.25">
      <c r="A900" s="551"/>
      <c r="B900" s="551"/>
      <c r="C900" s="551"/>
      <c r="D900" s="551"/>
      <c r="E900" s="552"/>
      <c r="F900" s="552"/>
      <c r="G900" s="552"/>
      <c r="H900" s="552"/>
      <c r="I900" s="552"/>
      <c r="J900" s="552"/>
      <c r="K900" s="553"/>
      <c r="L900" s="554"/>
      <c r="M900" s="554"/>
      <c r="N900" s="554"/>
      <c r="O900" s="555"/>
      <c r="P900" s="555"/>
    </row>
    <row r="901" spans="1:16" ht="21.75" customHeight="1" x14ac:dyDescent="0.25">
      <c r="A901" s="551"/>
      <c r="B901" s="551"/>
      <c r="C901" s="551"/>
      <c r="D901" s="551"/>
      <c r="E901" s="552"/>
      <c r="F901" s="552"/>
      <c r="G901" s="552"/>
      <c r="H901" s="552"/>
      <c r="I901" s="552"/>
      <c r="J901" s="552"/>
      <c r="K901" s="553"/>
      <c r="L901" s="554"/>
      <c r="M901" s="554"/>
      <c r="N901" s="554"/>
      <c r="O901" s="555"/>
      <c r="P901" s="555"/>
    </row>
    <row r="902" spans="1:16" ht="21.75" customHeight="1" x14ac:dyDescent="0.25">
      <c r="A902" s="551"/>
      <c r="B902" s="551"/>
      <c r="C902" s="551"/>
      <c r="D902" s="551"/>
      <c r="E902" s="552"/>
      <c r="F902" s="552"/>
      <c r="G902" s="552"/>
      <c r="H902" s="552"/>
      <c r="I902" s="552"/>
      <c r="J902" s="552"/>
      <c r="K902" s="553"/>
      <c r="L902" s="554"/>
      <c r="M902" s="554"/>
      <c r="N902" s="554"/>
      <c r="O902" s="555"/>
      <c r="P902" s="555"/>
    </row>
    <row r="903" spans="1:16" ht="21.75" customHeight="1" x14ac:dyDescent="0.25">
      <c r="A903" s="551"/>
      <c r="B903" s="551"/>
      <c r="C903" s="551"/>
      <c r="D903" s="551"/>
      <c r="E903" s="552"/>
      <c r="F903" s="552"/>
      <c r="G903" s="552"/>
      <c r="H903" s="552"/>
      <c r="I903" s="552"/>
      <c r="J903" s="552"/>
      <c r="K903" s="553"/>
      <c r="L903" s="554"/>
      <c r="M903" s="554"/>
      <c r="N903" s="554"/>
      <c r="O903" s="555"/>
      <c r="P903" s="555"/>
    </row>
    <row r="904" spans="1:16" ht="21.75" customHeight="1" x14ac:dyDescent="0.25">
      <c r="A904" s="551"/>
      <c r="B904" s="551"/>
      <c r="C904" s="551"/>
      <c r="D904" s="551"/>
      <c r="E904" s="552"/>
      <c r="F904" s="552"/>
      <c r="G904" s="552"/>
      <c r="H904" s="552"/>
      <c r="I904" s="552"/>
      <c r="J904" s="552"/>
      <c r="K904" s="553"/>
      <c r="L904" s="554"/>
      <c r="M904" s="554"/>
      <c r="N904" s="554"/>
      <c r="O904" s="555"/>
      <c r="P904" s="555"/>
    </row>
    <row r="905" spans="1:16" ht="21.75" customHeight="1" x14ac:dyDescent="0.25">
      <c r="A905" s="551"/>
      <c r="B905" s="551"/>
      <c r="C905" s="551"/>
      <c r="D905" s="551"/>
      <c r="E905" s="552"/>
      <c r="F905" s="552"/>
      <c r="G905" s="552"/>
      <c r="H905" s="552"/>
      <c r="I905" s="552"/>
      <c r="J905" s="552"/>
      <c r="K905" s="553"/>
      <c r="L905" s="554"/>
      <c r="M905" s="554"/>
      <c r="N905" s="554"/>
      <c r="O905" s="555"/>
      <c r="P905" s="555"/>
    </row>
    <row r="906" spans="1:16" ht="21.75" customHeight="1" x14ac:dyDescent="0.25">
      <c r="A906" s="551"/>
      <c r="B906" s="551"/>
      <c r="C906" s="551"/>
      <c r="D906" s="551"/>
      <c r="E906" s="552"/>
      <c r="F906" s="552"/>
      <c r="G906" s="552"/>
      <c r="H906" s="552"/>
      <c r="I906" s="552"/>
      <c r="J906" s="552"/>
      <c r="K906" s="553"/>
      <c r="L906" s="554"/>
      <c r="M906" s="554"/>
      <c r="N906" s="554"/>
      <c r="O906" s="555"/>
      <c r="P906" s="555"/>
    </row>
    <row r="907" spans="1:16" ht="21.75" customHeight="1" x14ac:dyDescent="0.25">
      <c r="A907" s="551"/>
      <c r="B907" s="551"/>
      <c r="C907" s="551"/>
      <c r="D907" s="551"/>
      <c r="E907" s="552"/>
      <c r="F907" s="552"/>
      <c r="G907" s="552"/>
      <c r="H907" s="552"/>
      <c r="I907" s="552"/>
      <c r="J907" s="552"/>
      <c r="K907" s="553"/>
      <c r="L907" s="554"/>
      <c r="M907" s="554"/>
      <c r="N907" s="554"/>
      <c r="O907" s="555"/>
      <c r="P907" s="555"/>
    </row>
    <row r="908" spans="1:16" ht="21.75" customHeight="1" x14ac:dyDescent="0.25">
      <c r="A908" s="551"/>
      <c r="B908" s="551"/>
      <c r="C908" s="551"/>
      <c r="D908" s="551"/>
      <c r="E908" s="552"/>
      <c r="F908" s="552"/>
      <c r="G908" s="552"/>
      <c r="H908" s="552"/>
      <c r="I908" s="552"/>
      <c r="J908" s="552"/>
      <c r="K908" s="553"/>
      <c r="L908" s="554"/>
      <c r="M908" s="554"/>
      <c r="N908" s="554"/>
      <c r="O908" s="555"/>
      <c r="P908" s="555"/>
    </row>
    <row r="909" spans="1:16" ht="21.75" customHeight="1" x14ac:dyDescent="0.25">
      <c r="A909" s="551"/>
      <c r="B909" s="551"/>
      <c r="C909" s="551"/>
      <c r="D909" s="551"/>
      <c r="E909" s="552"/>
      <c r="F909" s="552"/>
      <c r="G909" s="552"/>
      <c r="H909" s="552"/>
      <c r="I909" s="552"/>
      <c r="J909" s="552"/>
      <c r="K909" s="553"/>
      <c r="L909" s="554"/>
      <c r="M909" s="554"/>
      <c r="N909" s="554"/>
      <c r="O909" s="555"/>
      <c r="P909" s="555"/>
    </row>
    <row r="910" spans="1:16" ht="21.75" customHeight="1" x14ac:dyDescent="0.25">
      <c r="A910" s="551"/>
      <c r="B910" s="551"/>
      <c r="C910" s="551"/>
      <c r="D910" s="551"/>
      <c r="E910" s="552"/>
      <c r="F910" s="552"/>
      <c r="G910" s="552"/>
      <c r="H910" s="552"/>
      <c r="I910" s="552"/>
      <c r="J910" s="552"/>
      <c r="K910" s="553"/>
      <c r="L910" s="554"/>
      <c r="M910" s="554"/>
      <c r="N910" s="554"/>
      <c r="O910" s="555"/>
      <c r="P910" s="555"/>
    </row>
    <row r="911" spans="1:16" ht="21.75" customHeight="1" x14ac:dyDescent="0.25">
      <c r="A911" s="551"/>
      <c r="B911" s="551"/>
      <c r="C911" s="551"/>
      <c r="D911" s="551"/>
      <c r="E911" s="552"/>
      <c r="F911" s="552"/>
      <c r="G911" s="552"/>
      <c r="H911" s="552"/>
      <c r="I911" s="552"/>
      <c r="J911" s="552"/>
      <c r="K911" s="553"/>
      <c r="L911" s="554"/>
      <c r="M911" s="554"/>
      <c r="N911" s="554"/>
      <c r="O911" s="555"/>
      <c r="P911" s="555"/>
    </row>
    <row r="912" spans="1:16" ht="21.75" customHeight="1" x14ac:dyDescent="0.25">
      <c r="A912" s="551"/>
      <c r="B912" s="551"/>
      <c r="C912" s="551"/>
      <c r="D912" s="551"/>
      <c r="E912" s="552"/>
      <c r="F912" s="552"/>
      <c r="G912" s="552"/>
      <c r="H912" s="552"/>
      <c r="I912" s="552"/>
      <c r="J912" s="552"/>
      <c r="K912" s="553"/>
      <c r="L912" s="554"/>
      <c r="M912" s="554"/>
      <c r="N912" s="554"/>
      <c r="O912" s="555"/>
      <c r="P912" s="555"/>
    </row>
    <row r="913" spans="1:16" ht="21.75" customHeight="1" x14ac:dyDescent="0.25">
      <c r="A913" s="551"/>
      <c r="B913" s="551"/>
      <c r="C913" s="551"/>
      <c r="D913" s="551"/>
      <c r="E913" s="552"/>
      <c r="F913" s="552"/>
      <c r="G913" s="552"/>
      <c r="H913" s="552"/>
      <c r="I913" s="552"/>
      <c r="J913" s="552"/>
      <c r="K913" s="553"/>
      <c r="L913" s="554"/>
      <c r="M913" s="554"/>
      <c r="N913" s="554"/>
      <c r="O913" s="555"/>
      <c r="P913" s="555"/>
    </row>
    <row r="914" spans="1:16" ht="21.75" customHeight="1" x14ac:dyDescent="0.25">
      <c r="A914" s="551"/>
      <c r="B914" s="551"/>
      <c r="C914" s="551"/>
      <c r="D914" s="551"/>
      <c r="E914" s="552"/>
      <c r="F914" s="552"/>
      <c r="G914" s="552"/>
      <c r="H914" s="552"/>
      <c r="I914" s="552"/>
      <c r="J914" s="552"/>
      <c r="K914" s="553"/>
      <c r="L914" s="554"/>
      <c r="M914" s="554"/>
      <c r="N914" s="554"/>
      <c r="O914" s="555"/>
      <c r="P914" s="555"/>
    </row>
    <row r="915" spans="1:16" ht="21.75" customHeight="1" x14ac:dyDescent="0.25">
      <c r="A915" s="551"/>
      <c r="B915" s="551"/>
      <c r="C915" s="551"/>
      <c r="D915" s="551"/>
      <c r="E915" s="552"/>
      <c r="F915" s="552"/>
      <c r="G915" s="552"/>
      <c r="H915" s="552"/>
      <c r="I915" s="552"/>
      <c r="J915" s="552"/>
      <c r="K915" s="553"/>
      <c r="L915" s="554"/>
      <c r="M915" s="554"/>
      <c r="N915" s="554"/>
      <c r="O915" s="555"/>
      <c r="P915" s="555"/>
    </row>
    <row r="916" spans="1:16" ht="21.75" customHeight="1" x14ac:dyDescent="0.25">
      <c r="A916" s="551"/>
      <c r="B916" s="551"/>
      <c r="C916" s="551"/>
      <c r="D916" s="551"/>
      <c r="E916" s="552"/>
      <c r="F916" s="552"/>
      <c r="G916" s="552"/>
      <c r="H916" s="552"/>
      <c r="I916" s="552"/>
      <c r="J916" s="552"/>
      <c r="K916" s="553"/>
      <c r="L916" s="554"/>
      <c r="M916" s="554"/>
      <c r="N916" s="554"/>
      <c r="O916" s="555"/>
      <c r="P916" s="555"/>
    </row>
    <row r="917" spans="1:16" ht="21.75" customHeight="1" x14ac:dyDescent="0.25">
      <c r="A917" s="551"/>
      <c r="B917" s="551"/>
      <c r="C917" s="551"/>
      <c r="D917" s="551"/>
      <c r="E917" s="552"/>
      <c r="F917" s="552"/>
      <c r="G917" s="552"/>
      <c r="H917" s="552"/>
      <c r="I917" s="552"/>
      <c r="J917" s="552"/>
      <c r="K917" s="553"/>
      <c r="L917" s="554"/>
      <c r="M917" s="554"/>
      <c r="N917" s="554"/>
      <c r="O917" s="555"/>
      <c r="P917" s="555"/>
    </row>
    <row r="918" spans="1:16" ht="21.75" customHeight="1" x14ac:dyDescent="0.25">
      <c r="A918" s="551"/>
      <c r="B918" s="551"/>
      <c r="C918" s="551"/>
      <c r="D918" s="551"/>
      <c r="E918" s="552"/>
      <c r="F918" s="552"/>
      <c r="G918" s="552"/>
      <c r="H918" s="552"/>
      <c r="I918" s="552"/>
      <c r="J918" s="552"/>
      <c r="K918" s="553"/>
      <c r="L918" s="554"/>
      <c r="M918" s="554"/>
      <c r="N918" s="554"/>
      <c r="O918" s="555"/>
      <c r="P918" s="555"/>
    </row>
    <row r="919" spans="1:16" ht="21.75" customHeight="1" x14ac:dyDescent="0.25">
      <c r="A919" s="551"/>
      <c r="B919" s="551"/>
      <c r="C919" s="551"/>
      <c r="D919" s="551"/>
      <c r="E919" s="552"/>
      <c r="F919" s="552"/>
      <c r="G919" s="552"/>
      <c r="H919" s="552"/>
      <c r="I919" s="552"/>
      <c r="J919" s="552"/>
      <c r="K919" s="553"/>
      <c r="L919" s="554"/>
      <c r="M919" s="554"/>
      <c r="N919" s="554"/>
      <c r="O919" s="555"/>
      <c r="P919" s="555"/>
    </row>
    <row r="920" spans="1:16" ht="21.75" customHeight="1" x14ac:dyDescent="0.25">
      <c r="A920" s="551"/>
      <c r="B920" s="551"/>
      <c r="C920" s="551"/>
      <c r="D920" s="551"/>
      <c r="E920" s="552"/>
      <c r="F920" s="552"/>
      <c r="G920" s="552"/>
      <c r="H920" s="552"/>
      <c r="I920" s="552"/>
      <c r="J920" s="552"/>
      <c r="K920" s="553"/>
      <c r="L920" s="554"/>
      <c r="M920" s="554"/>
      <c r="N920" s="554"/>
      <c r="O920" s="555"/>
      <c r="P920" s="555"/>
    </row>
    <row r="921" spans="1:16" ht="21.75" customHeight="1" x14ac:dyDescent="0.25">
      <c r="A921" s="551"/>
      <c r="B921" s="551"/>
      <c r="C921" s="551"/>
      <c r="D921" s="551"/>
      <c r="E921" s="552"/>
      <c r="F921" s="552"/>
      <c r="G921" s="552"/>
      <c r="H921" s="552"/>
      <c r="I921" s="552"/>
      <c r="J921" s="552"/>
      <c r="K921" s="553"/>
      <c r="L921" s="554"/>
      <c r="M921" s="554"/>
      <c r="N921" s="554"/>
      <c r="O921" s="555"/>
      <c r="P921" s="555"/>
    </row>
    <row r="922" spans="1:16" ht="21.75" customHeight="1" x14ac:dyDescent="0.25">
      <c r="A922" s="551"/>
      <c r="B922" s="551"/>
      <c r="C922" s="551"/>
      <c r="D922" s="551"/>
      <c r="E922" s="552"/>
      <c r="F922" s="552"/>
      <c r="G922" s="552"/>
      <c r="H922" s="552"/>
      <c r="I922" s="552"/>
      <c r="J922" s="552"/>
      <c r="K922" s="553"/>
      <c r="L922" s="554"/>
      <c r="M922" s="554"/>
      <c r="N922" s="554"/>
      <c r="O922" s="555"/>
      <c r="P922" s="555"/>
    </row>
    <row r="923" spans="1:16" ht="21.75" customHeight="1" x14ac:dyDescent="0.25">
      <c r="A923" s="551"/>
      <c r="B923" s="551"/>
      <c r="C923" s="551"/>
      <c r="D923" s="551"/>
      <c r="E923" s="552"/>
      <c r="F923" s="552"/>
      <c r="G923" s="552"/>
      <c r="H923" s="552"/>
      <c r="I923" s="552"/>
      <c r="J923" s="552"/>
      <c r="K923" s="553"/>
      <c r="L923" s="554"/>
      <c r="M923" s="554"/>
      <c r="N923" s="554"/>
      <c r="O923" s="555"/>
      <c r="P923" s="555"/>
    </row>
    <row r="924" spans="1:16" ht="21.75" customHeight="1" x14ac:dyDescent="0.25">
      <c r="A924" s="551"/>
      <c r="B924" s="551"/>
      <c r="C924" s="551"/>
      <c r="D924" s="551"/>
      <c r="E924" s="552"/>
      <c r="F924" s="552"/>
      <c r="G924" s="552"/>
      <c r="H924" s="552"/>
      <c r="I924" s="552"/>
      <c r="J924" s="552"/>
      <c r="K924" s="553"/>
      <c r="L924" s="554"/>
      <c r="M924" s="554"/>
      <c r="N924" s="554"/>
      <c r="O924" s="555"/>
      <c r="P924" s="555"/>
    </row>
    <row r="925" spans="1:16" ht="21.75" customHeight="1" x14ac:dyDescent="0.25">
      <c r="A925" s="551"/>
      <c r="B925" s="551"/>
      <c r="C925" s="551"/>
      <c r="D925" s="551"/>
      <c r="E925" s="552"/>
      <c r="F925" s="552"/>
      <c r="G925" s="552"/>
      <c r="H925" s="552"/>
      <c r="I925" s="552"/>
      <c r="J925" s="552"/>
      <c r="K925" s="553"/>
      <c r="L925" s="554"/>
      <c r="M925" s="554"/>
      <c r="N925" s="554"/>
      <c r="O925" s="555"/>
      <c r="P925" s="555"/>
    </row>
    <row r="926" spans="1:16" ht="21.75" customHeight="1" x14ac:dyDescent="0.25">
      <c r="A926" s="551"/>
      <c r="B926" s="551"/>
      <c r="C926" s="551"/>
      <c r="D926" s="551"/>
      <c r="E926" s="552"/>
      <c r="F926" s="552"/>
      <c r="G926" s="552"/>
      <c r="H926" s="552"/>
      <c r="I926" s="552"/>
      <c r="J926" s="552"/>
      <c r="K926" s="553"/>
      <c r="L926" s="554"/>
      <c r="M926" s="554"/>
      <c r="N926" s="554"/>
      <c r="O926" s="555"/>
      <c r="P926" s="555"/>
    </row>
    <row r="927" spans="1:16" ht="21.75" customHeight="1" x14ac:dyDescent="0.25">
      <c r="A927" s="551"/>
      <c r="B927" s="551"/>
      <c r="C927" s="551"/>
      <c r="D927" s="551"/>
      <c r="E927" s="552"/>
      <c r="F927" s="552"/>
      <c r="G927" s="552"/>
      <c r="H927" s="552"/>
      <c r="I927" s="552"/>
      <c r="J927" s="552"/>
      <c r="K927" s="553"/>
      <c r="L927" s="554"/>
      <c r="M927" s="554"/>
      <c r="N927" s="554"/>
      <c r="O927" s="555"/>
      <c r="P927" s="555"/>
    </row>
    <row r="928" spans="1:16" ht="21.75" customHeight="1" x14ac:dyDescent="0.25">
      <c r="A928" s="551"/>
      <c r="B928" s="551"/>
      <c r="C928" s="551"/>
      <c r="D928" s="551"/>
      <c r="E928" s="552"/>
      <c r="F928" s="552"/>
      <c r="G928" s="552"/>
      <c r="H928" s="552"/>
      <c r="I928" s="552"/>
      <c r="J928" s="552"/>
      <c r="K928" s="553"/>
      <c r="L928" s="554"/>
      <c r="M928" s="554"/>
      <c r="N928" s="554"/>
      <c r="O928" s="555"/>
      <c r="P928" s="555"/>
    </row>
    <row r="929" spans="1:16" ht="21.75" customHeight="1" x14ac:dyDescent="0.25">
      <c r="A929" s="551"/>
      <c r="B929" s="551"/>
      <c r="C929" s="551"/>
      <c r="D929" s="551"/>
      <c r="E929" s="552"/>
      <c r="F929" s="552"/>
      <c r="G929" s="552"/>
      <c r="H929" s="552"/>
      <c r="I929" s="552"/>
      <c r="J929" s="552"/>
      <c r="K929" s="553"/>
      <c r="L929" s="554"/>
      <c r="M929" s="554"/>
      <c r="N929" s="554"/>
      <c r="O929" s="555"/>
      <c r="P929" s="555"/>
    </row>
    <row r="930" spans="1:16" ht="21.75" customHeight="1" x14ac:dyDescent="0.25">
      <c r="A930" s="551"/>
      <c r="B930" s="551"/>
      <c r="C930" s="551"/>
      <c r="D930" s="551"/>
      <c r="E930" s="552"/>
      <c r="F930" s="552"/>
      <c r="G930" s="552"/>
      <c r="H930" s="552"/>
      <c r="I930" s="552"/>
      <c r="J930" s="552"/>
      <c r="K930" s="553"/>
      <c r="L930" s="554"/>
      <c r="M930" s="554"/>
      <c r="N930" s="554"/>
      <c r="O930" s="555"/>
      <c r="P930" s="555"/>
    </row>
    <row r="931" spans="1:16" ht="21.75" customHeight="1" x14ac:dyDescent="0.25">
      <c r="A931" s="551"/>
      <c r="B931" s="551"/>
      <c r="C931" s="551"/>
      <c r="D931" s="551"/>
      <c r="E931" s="552"/>
      <c r="F931" s="552"/>
      <c r="G931" s="552"/>
      <c r="H931" s="552"/>
      <c r="I931" s="552"/>
      <c r="J931" s="552"/>
      <c r="K931" s="553"/>
      <c r="L931" s="554"/>
      <c r="M931" s="554"/>
      <c r="N931" s="554"/>
      <c r="O931" s="555"/>
      <c r="P931" s="555"/>
    </row>
    <row r="932" spans="1:16" ht="21.75" customHeight="1" x14ac:dyDescent="0.25">
      <c r="A932" s="551"/>
      <c r="B932" s="551"/>
      <c r="C932" s="551"/>
      <c r="D932" s="551"/>
      <c r="E932" s="552"/>
      <c r="F932" s="552"/>
      <c r="G932" s="552"/>
      <c r="H932" s="552"/>
      <c r="I932" s="552"/>
      <c r="J932" s="552"/>
      <c r="K932" s="553"/>
      <c r="L932" s="554"/>
      <c r="M932" s="554"/>
      <c r="N932" s="554"/>
      <c r="O932" s="555"/>
      <c r="P932" s="555"/>
    </row>
    <row r="933" spans="1:16" ht="21.75" customHeight="1" x14ac:dyDescent="0.25">
      <c r="A933" s="551"/>
      <c r="B933" s="551"/>
      <c r="C933" s="551"/>
      <c r="D933" s="551"/>
      <c r="E933" s="552"/>
      <c r="F933" s="552"/>
      <c r="G933" s="552"/>
      <c r="H933" s="552"/>
      <c r="I933" s="552"/>
      <c r="J933" s="552"/>
      <c r="K933" s="553"/>
      <c r="L933" s="554"/>
      <c r="M933" s="554"/>
      <c r="N933" s="554"/>
      <c r="O933" s="555"/>
      <c r="P933" s="555"/>
    </row>
    <row r="934" spans="1:16" ht="21.75" customHeight="1" x14ac:dyDescent="0.25">
      <c r="A934" s="551"/>
      <c r="B934" s="551"/>
      <c r="C934" s="551"/>
      <c r="D934" s="551"/>
      <c r="E934" s="552"/>
      <c r="F934" s="552"/>
      <c r="G934" s="552"/>
      <c r="H934" s="552"/>
      <c r="I934" s="552"/>
      <c r="J934" s="552"/>
      <c r="K934" s="553"/>
      <c r="L934" s="554"/>
      <c r="M934" s="554"/>
      <c r="N934" s="554"/>
      <c r="O934" s="555"/>
      <c r="P934" s="555"/>
    </row>
    <row r="935" spans="1:16" ht="21.75" customHeight="1" x14ac:dyDescent="0.25">
      <c r="A935" s="551"/>
      <c r="B935" s="551"/>
      <c r="C935" s="551"/>
      <c r="D935" s="551"/>
      <c r="E935" s="552"/>
      <c r="F935" s="552"/>
      <c r="G935" s="552"/>
      <c r="H935" s="552"/>
      <c r="I935" s="552"/>
      <c r="J935" s="552"/>
      <c r="K935" s="553"/>
      <c r="L935" s="554"/>
      <c r="M935" s="554"/>
      <c r="N935" s="554"/>
      <c r="O935" s="555"/>
      <c r="P935" s="555"/>
    </row>
    <row r="936" spans="1:16" ht="21.75" customHeight="1" x14ac:dyDescent="0.25">
      <c r="A936" s="551"/>
      <c r="B936" s="551"/>
      <c r="C936" s="551"/>
      <c r="D936" s="551"/>
      <c r="E936" s="552"/>
      <c r="F936" s="552"/>
      <c r="G936" s="552"/>
      <c r="H936" s="552"/>
      <c r="I936" s="552"/>
      <c r="J936" s="552"/>
      <c r="K936" s="553"/>
      <c r="L936" s="554"/>
      <c r="M936" s="554"/>
      <c r="N936" s="554"/>
      <c r="O936" s="555"/>
      <c r="P936" s="555"/>
    </row>
    <row r="937" spans="1:16" ht="21.75" customHeight="1" x14ac:dyDescent="0.25">
      <c r="A937" s="551"/>
      <c r="B937" s="551"/>
      <c r="C937" s="551"/>
      <c r="D937" s="551"/>
      <c r="E937" s="552"/>
      <c r="F937" s="552"/>
      <c r="G937" s="552"/>
      <c r="H937" s="552"/>
      <c r="I937" s="552"/>
      <c r="J937" s="552"/>
      <c r="K937" s="553"/>
      <c r="L937" s="554"/>
      <c r="M937" s="554"/>
      <c r="N937" s="554"/>
      <c r="O937" s="555"/>
      <c r="P937" s="555"/>
    </row>
    <row r="938" spans="1:16" ht="21.75" customHeight="1" x14ac:dyDescent="0.25">
      <c r="A938" s="551"/>
      <c r="B938" s="551"/>
      <c r="C938" s="551"/>
      <c r="D938" s="551"/>
      <c r="E938" s="552"/>
      <c r="F938" s="552"/>
      <c r="G938" s="552"/>
      <c r="H938" s="552"/>
      <c r="I938" s="552"/>
      <c r="J938" s="552"/>
      <c r="K938" s="553"/>
      <c r="L938" s="554"/>
      <c r="M938" s="554"/>
      <c r="N938" s="554"/>
      <c r="O938" s="555"/>
      <c r="P938" s="555"/>
    </row>
    <row r="939" spans="1:16" ht="21.75" customHeight="1" x14ac:dyDescent="0.25">
      <c r="A939" s="551"/>
      <c r="B939" s="551"/>
      <c r="C939" s="551"/>
      <c r="D939" s="551"/>
      <c r="E939" s="552"/>
      <c r="F939" s="552"/>
      <c r="G939" s="552"/>
      <c r="H939" s="552"/>
      <c r="I939" s="552"/>
      <c r="J939" s="552"/>
      <c r="K939" s="553"/>
      <c r="L939" s="554"/>
      <c r="M939" s="554"/>
      <c r="N939" s="554"/>
      <c r="O939" s="555"/>
      <c r="P939" s="555"/>
    </row>
    <row r="940" spans="1:16" ht="21.75" customHeight="1" x14ac:dyDescent="0.25">
      <c r="A940" s="551"/>
      <c r="B940" s="551"/>
      <c r="C940" s="551"/>
      <c r="D940" s="551"/>
      <c r="E940" s="552"/>
      <c r="F940" s="552"/>
      <c r="G940" s="552"/>
      <c r="H940" s="552"/>
      <c r="I940" s="552"/>
      <c r="J940" s="552"/>
      <c r="K940" s="553"/>
      <c r="L940" s="554"/>
      <c r="M940" s="554"/>
      <c r="N940" s="554"/>
      <c r="O940" s="555"/>
      <c r="P940" s="555"/>
    </row>
    <row r="941" spans="1:16" ht="21.75" customHeight="1" x14ac:dyDescent="0.25">
      <c r="A941" s="551"/>
      <c r="B941" s="551"/>
      <c r="C941" s="551"/>
      <c r="D941" s="551"/>
      <c r="E941" s="552"/>
      <c r="F941" s="552"/>
      <c r="G941" s="552"/>
      <c r="H941" s="552"/>
      <c r="I941" s="552"/>
      <c r="J941" s="552"/>
      <c r="K941" s="553"/>
      <c r="L941" s="554"/>
      <c r="M941" s="554"/>
      <c r="N941" s="554"/>
      <c r="O941" s="555"/>
      <c r="P941" s="555"/>
    </row>
    <row r="942" spans="1:16" ht="21.75" customHeight="1" x14ac:dyDescent="0.25">
      <c r="A942" s="551"/>
      <c r="B942" s="551"/>
      <c r="C942" s="551"/>
      <c r="D942" s="551"/>
      <c r="E942" s="552"/>
      <c r="F942" s="552"/>
      <c r="G942" s="552"/>
      <c r="H942" s="552"/>
      <c r="I942" s="552"/>
      <c r="J942" s="552"/>
      <c r="K942" s="553"/>
      <c r="L942" s="554"/>
      <c r="M942" s="554"/>
      <c r="N942" s="554"/>
      <c r="O942" s="555"/>
      <c r="P942" s="555"/>
    </row>
    <row r="943" spans="1:16" ht="21.75" customHeight="1" x14ac:dyDescent="0.25">
      <c r="A943" s="551"/>
      <c r="B943" s="551"/>
      <c r="C943" s="551"/>
      <c r="D943" s="551"/>
      <c r="E943" s="552"/>
      <c r="F943" s="552"/>
      <c r="G943" s="552"/>
      <c r="H943" s="552"/>
      <c r="I943" s="552"/>
      <c r="J943" s="552"/>
      <c r="K943" s="553"/>
      <c r="L943" s="554"/>
      <c r="M943" s="554"/>
      <c r="N943" s="554"/>
      <c r="O943" s="555"/>
      <c r="P943" s="555"/>
    </row>
    <row r="944" spans="1:16" ht="21.75" customHeight="1" x14ac:dyDescent="0.25">
      <c r="A944" s="551"/>
      <c r="B944" s="551"/>
      <c r="C944" s="551"/>
      <c r="D944" s="551"/>
      <c r="E944" s="552"/>
      <c r="F944" s="552"/>
      <c r="G944" s="552"/>
      <c r="H944" s="552"/>
      <c r="I944" s="552"/>
      <c r="J944" s="552"/>
      <c r="K944" s="553"/>
      <c r="L944" s="554"/>
      <c r="M944" s="554"/>
      <c r="N944" s="554"/>
      <c r="O944" s="555"/>
      <c r="P944" s="555"/>
    </row>
    <row r="945" spans="1:16" ht="21.75" customHeight="1" x14ac:dyDescent="0.25">
      <c r="A945" s="551"/>
      <c r="B945" s="551"/>
      <c r="C945" s="551"/>
      <c r="D945" s="551"/>
      <c r="E945" s="552"/>
      <c r="F945" s="552"/>
      <c r="G945" s="552"/>
      <c r="H945" s="552"/>
      <c r="I945" s="552"/>
      <c r="J945" s="552"/>
      <c r="K945" s="553"/>
      <c r="L945" s="554"/>
      <c r="M945" s="554"/>
      <c r="N945" s="554"/>
      <c r="O945" s="555"/>
      <c r="P945" s="555"/>
    </row>
    <row r="946" spans="1:16" ht="21.75" customHeight="1" x14ac:dyDescent="0.25">
      <c r="A946" s="551"/>
      <c r="B946" s="551"/>
      <c r="C946" s="551"/>
      <c r="D946" s="551"/>
      <c r="E946" s="552"/>
      <c r="F946" s="552"/>
      <c r="G946" s="552"/>
      <c r="H946" s="552"/>
      <c r="I946" s="552"/>
      <c r="J946" s="552"/>
      <c r="K946" s="553"/>
      <c r="L946" s="554"/>
      <c r="M946" s="554"/>
      <c r="N946" s="554"/>
      <c r="O946" s="555"/>
      <c r="P946" s="555"/>
    </row>
    <row r="947" spans="1:16" ht="21.75" customHeight="1" x14ac:dyDescent="0.25">
      <c r="A947" s="551"/>
      <c r="B947" s="551"/>
      <c r="C947" s="551"/>
      <c r="D947" s="551"/>
      <c r="E947" s="552"/>
      <c r="F947" s="552"/>
      <c r="G947" s="552"/>
      <c r="H947" s="552"/>
      <c r="I947" s="552"/>
      <c r="J947" s="552"/>
      <c r="K947" s="553"/>
      <c r="L947" s="554"/>
      <c r="M947" s="554"/>
      <c r="N947" s="554"/>
      <c r="O947" s="555"/>
      <c r="P947" s="555"/>
    </row>
    <row r="948" spans="1:16" ht="21.75" customHeight="1" x14ac:dyDescent="0.25">
      <c r="A948" s="551"/>
      <c r="B948" s="551"/>
      <c r="C948" s="551"/>
      <c r="D948" s="551"/>
      <c r="E948" s="552"/>
      <c r="F948" s="552"/>
      <c r="G948" s="552"/>
      <c r="H948" s="552"/>
      <c r="I948" s="552"/>
      <c r="J948" s="552"/>
      <c r="K948" s="553"/>
      <c r="L948" s="554"/>
      <c r="M948" s="554"/>
      <c r="N948" s="554"/>
      <c r="O948" s="555"/>
      <c r="P948" s="555"/>
    </row>
    <row r="949" spans="1:16" ht="21.75" customHeight="1" x14ac:dyDescent="0.25">
      <c r="A949" s="551"/>
      <c r="B949" s="551"/>
      <c r="C949" s="551"/>
      <c r="D949" s="551"/>
      <c r="E949" s="552"/>
      <c r="F949" s="552"/>
      <c r="G949" s="552"/>
      <c r="H949" s="552"/>
      <c r="I949" s="552"/>
      <c r="J949" s="552"/>
      <c r="K949" s="553"/>
      <c r="L949" s="554"/>
      <c r="M949" s="554"/>
      <c r="N949" s="554"/>
      <c r="O949" s="555"/>
      <c r="P949" s="555"/>
    </row>
    <row r="950" spans="1:16" ht="21.75" customHeight="1" x14ac:dyDescent="0.25">
      <c r="A950" s="551"/>
      <c r="B950" s="551"/>
      <c r="C950" s="551"/>
      <c r="D950" s="551"/>
      <c r="E950" s="552"/>
      <c r="F950" s="552"/>
      <c r="G950" s="552"/>
      <c r="H950" s="552"/>
      <c r="I950" s="552"/>
      <c r="J950" s="552"/>
      <c r="K950" s="553"/>
      <c r="L950" s="554"/>
      <c r="M950" s="554"/>
      <c r="N950" s="554"/>
      <c r="O950" s="555"/>
      <c r="P950" s="555"/>
    </row>
    <row r="951" spans="1:16" ht="21.75" customHeight="1" x14ac:dyDescent="0.25">
      <c r="A951" s="551"/>
      <c r="B951" s="551"/>
      <c r="C951" s="551"/>
      <c r="D951" s="551"/>
      <c r="E951" s="552"/>
      <c r="F951" s="552"/>
      <c r="G951" s="552"/>
      <c r="H951" s="552"/>
      <c r="I951" s="552"/>
      <c r="J951" s="552"/>
      <c r="K951" s="553"/>
      <c r="L951" s="554"/>
      <c r="M951" s="554"/>
      <c r="N951" s="554"/>
      <c r="O951" s="555"/>
      <c r="P951" s="555"/>
    </row>
    <row r="952" spans="1:16" ht="21.75" customHeight="1" x14ac:dyDescent="0.25">
      <c r="A952" s="551"/>
      <c r="B952" s="551"/>
      <c r="C952" s="551"/>
      <c r="D952" s="551"/>
      <c r="E952" s="552"/>
      <c r="F952" s="552"/>
      <c r="G952" s="552"/>
      <c r="H952" s="552"/>
      <c r="I952" s="552"/>
      <c r="J952" s="552"/>
      <c r="K952" s="553"/>
      <c r="L952" s="554"/>
      <c r="M952" s="554"/>
      <c r="N952" s="554"/>
      <c r="O952" s="555"/>
      <c r="P952" s="555"/>
    </row>
    <row r="953" spans="1:16" ht="21.75" customHeight="1" x14ac:dyDescent="0.25">
      <c r="A953" s="551"/>
      <c r="B953" s="551"/>
      <c r="C953" s="551"/>
      <c r="D953" s="551"/>
      <c r="E953" s="552"/>
      <c r="F953" s="552"/>
      <c r="G953" s="552"/>
      <c r="H953" s="552"/>
      <c r="I953" s="552"/>
      <c r="J953" s="552"/>
      <c r="K953" s="553"/>
      <c r="L953" s="554"/>
      <c r="M953" s="554"/>
      <c r="N953" s="554"/>
      <c r="O953" s="555"/>
      <c r="P953" s="555"/>
    </row>
    <row r="954" spans="1:16" ht="21.75" customHeight="1" x14ac:dyDescent="0.25">
      <c r="A954" s="551"/>
      <c r="B954" s="551"/>
      <c r="C954" s="551"/>
      <c r="D954" s="551"/>
      <c r="E954" s="552"/>
      <c r="F954" s="552"/>
      <c r="G954" s="552"/>
      <c r="H954" s="552"/>
      <c r="I954" s="552"/>
      <c r="J954" s="552"/>
      <c r="K954" s="553"/>
      <c r="L954" s="554"/>
      <c r="M954" s="554"/>
      <c r="N954" s="554"/>
      <c r="O954" s="555"/>
      <c r="P954" s="555"/>
    </row>
    <row r="955" spans="1:16" ht="21.75" customHeight="1" x14ac:dyDescent="0.25">
      <c r="A955" s="551"/>
      <c r="B955" s="551"/>
      <c r="C955" s="551"/>
      <c r="D955" s="551"/>
      <c r="E955" s="552"/>
      <c r="F955" s="552"/>
      <c r="G955" s="552"/>
      <c r="H955" s="552"/>
      <c r="I955" s="552"/>
      <c r="J955" s="552"/>
      <c r="K955" s="553"/>
      <c r="L955" s="554"/>
      <c r="M955" s="554"/>
      <c r="N955" s="554"/>
      <c r="O955" s="555"/>
      <c r="P955" s="555"/>
    </row>
    <row r="956" spans="1:16" ht="21.75" customHeight="1" x14ac:dyDescent="0.25">
      <c r="A956" s="551"/>
      <c r="B956" s="551"/>
      <c r="C956" s="551"/>
      <c r="D956" s="551"/>
      <c r="E956" s="552"/>
      <c r="F956" s="552"/>
      <c r="G956" s="552"/>
      <c r="H956" s="552"/>
      <c r="I956" s="552"/>
      <c r="J956" s="552"/>
      <c r="K956" s="553"/>
      <c r="L956" s="554"/>
      <c r="M956" s="554"/>
      <c r="N956" s="554"/>
      <c r="O956" s="555"/>
      <c r="P956" s="555"/>
    </row>
    <row r="957" spans="1:16" ht="21.75" customHeight="1" x14ac:dyDescent="0.25">
      <c r="A957" s="551"/>
      <c r="B957" s="551"/>
      <c r="C957" s="551"/>
      <c r="D957" s="551"/>
      <c r="E957" s="552"/>
      <c r="F957" s="552"/>
      <c r="G957" s="552"/>
      <c r="H957" s="552"/>
      <c r="I957" s="552"/>
      <c r="J957" s="552"/>
      <c r="K957" s="553"/>
      <c r="L957" s="554"/>
      <c r="M957" s="554"/>
      <c r="N957" s="554"/>
      <c r="O957" s="555"/>
      <c r="P957" s="555"/>
    </row>
    <row r="958" spans="1:16" ht="21.75" customHeight="1" x14ac:dyDescent="0.25">
      <c r="A958" s="551"/>
      <c r="B958" s="551"/>
      <c r="C958" s="551"/>
      <c r="D958" s="551"/>
      <c r="E958" s="552"/>
      <c r="F958" s="552"/>
      <c r="G958" s="552"/>
      <c r="H958" s="552"/>
      <c r="I958" s="552"/>
      <c r="J958" s="552"/>
      <c r="K958" s="553"/>
      <c r="L958" s="554"/>
      <c r="M958" s="554"/>
      <c r="N958" s="554"/>
      <c r="O958" s="555"/>
      <c r="P958" s="555"/>
    </row>
    <row r="959" spans="1:16" ht="21.75" customHeight="1" x14ac:dyDescent="0.25">
      <c r="A959" s="551"/>
      <c r="B959" s="551"/>
      <c r="C959" s="551"/>
      <c r="D959" s="551"/>
      <c r="E959" s="552"/>
      <c r="F959" s="552"/>
      <c r="G959" s="552"/>
      <c r="H959" s="552"/>
      <c r="I959" s="552"/>
      <c r="J959" s="552"/>
      <c r="K959" s="553"/>
      <c r="L959" s="554"/>
      <c r="M959" s="554"/>
      <c r="N959" s="554"/>
      <c r="O959" s="555"/>
      <c r="P959" s="555"/>
    </row>
    <row r="960" spans="1:16" ht="21.75" customHeight="1" x14ac:dyDescent="0.25">
      <c r="A960" s="551"/>
      <c r="B960" s="551"/>
      <c r="C960" s="551"/>
      <c r="D960" s="551"/>
      <c r="E960" s="552"/>
      <c r="F960" s="552"/>
      <c r="G960" s="552"/>
      <c r="H960" s="552"/>
      <c r="I960" s="552"/>
      <c r="J960" s="552"/>
      <c r="K960" s="553"/>
      <c r="L960" s="554"/>
      <c r="M960" s="554"/>
      <c r="N960" s="554"/>
      <c r="O960" s="555"/>
      <c r="P960" s="555"/>
    </row>
    <row r="961" spans="1:16" ht="21.75" customHeight="1" x14ac:dyDescent="0.25">
      <c r="A961" s="551"/>
      <c r="B961" s="551"/>
      <c r="C961" s="551"/>
      <c r="D961" s="551"/>
      <c r="E961" s="552"/>
      <c r="F961" s="552"/>
      <c r="G961" s="552"/>
      <c r="H961" s="552"/>
      <c r="I961" s="552"/>
      <c r="J961" s="552"/>
      <c r="K961" s="553"/>
      <c r="L961" s="554"/>
      <c r="M961" s="554"/>
      <c r="N961" s="554"/>
      <c r="O961" s="555"/>
      <c r="P961" s="555"/>
    </row>
    <row r="962" spans="1:16" ht="21.75" customHeight="1" x14ac:dyDescent="0.25">
      <c r="A962" s="551"/>
      <c r="B962" s="551"/>
      <c r="C962" s="551"/>
      <c r="D962" s="551"/>
      <c r="E962" s="552"/>
      <c r="F962" s="552"/>
      <c r="G962" s="552"/>
      <c r="H962" s="552"/>
      <c r="I962" s="552"/>
      <c r="J962" s="552"/>
      <c r="K962" s="553"/>
      <c r="L962" s="554"/>
      <c r="M962" s="554"/>
      <c r="N962" s="554"/>
      <c r="O962" s="555"/>
      <c r="P962" s="555"/>
    </row>
    <row r="963" spans="1:16" ht="21.75" customHeight="1" x14ac:dyDescent="0.25">
      <c r="A963" s="551"/>
      <c r="B963" s="551"/>
      <c r="C963" s="551"/>
      <c r="D963" s="551"/>
      <c r="E963" s="552"/>
      <c r="F963" s="552"/>
      <c r="G963" s="552"/>
      <c r="H963" s="552"/>
      <c r="I963" s="552"/>
      <c r="J963" s="552"/>
      <c r="K963" s="553"/>
      <c r="L963" s="554"/>
      <c r="M963" s="554"/>
      <c r="N963" s="554"/>
      <c r="O963" s="555"/>
      <c r="P963" s="555"/>
    </row>
    <row r="964" spans="1:16" ht="21.75" customHeight="1" x14ac:dyDescent="0.25">
      <c r="A964" s="551"/>
      <c r="B964" s="551"/>
      <c r="C964" s="551"/>
      <c r="D964" s="551"/>
      <c r="E964" s="552"/>
      <c r="F964" s="552"/>
      <c r="G964" s="552"/>
      <c r="H964" s="552"/>
      <c r="I964" s="552"/>
      <c r="J964" s="552"/>
      <c r="K964" s="553"/>
      <c r="L964" s="554"/>
      <c r="M964" s="554"/>
      <c r="N964" s="554"/>
      <c r="O964" s="555"/>
      <c r="P964" s="555"/>
    </row>
    <row r="965" spans="1:16" ht="21.75" customHeight="1" x14ac:dyDescent="0.25">
      <c r="A965" s="551"/>
      <c r="B965" s="551"/>
      <c r="C965" s="551"/>
      <c r="D965" s="551"/>
      <c r="E965" s="552"/>
      <c r="F965" s="552"/>
      <c r="G965" s="552"/>
      <c r="H965" s="552"/>
      <c r="I965" s="552"/>
      <c r="J965" s="552"/>
      <c r="K965" s="553"/>
      <c r="L965" s="554"/>
      <c r="M965" s="554"/>
      <c r="N965" s="554"/>
      <c r="O965" s="555"/>
      <c r="P965" s="555"/>
    </row>
    <row r="966" spans="1:16" ht="21.75" customHeight="1" x14ac:dyDescent="0.25">
      <c r="A966" s="551"/>
      <c r="B966" s="551"/>
      <c r="C966" s="551"/>
      <c r="D966" s="551"/>
      <c r="E966" s="552"/>
      <c r="F966" s="552"/>
      <c r="G966" s="552"/>
      <c r="H966" s="552"/>
      <c r="I966" s="552"/>
      <c r="J966" s="552"/>
      <c r="K966" s="553"/>
      <c r="L966" s="554"/>
      <c r="M966" s="554"/>
      <c r="N966" s="554"/>
      <c r="O966" s="555"/>
      <c r="P966" s="555"/>
    </row>
    <row r="967" spans="1:16" ht="21.75" customHeight="1" x14ac:dyDescent="0.25">
      <c r="A967" s="551"/>
      <c r="B967" s="551"/>
      <c r="C967" s="551"/>
      <c r="D967" s="551"/>
      <c r="E967" s="552"/>
      <c r="F967" s="552"/>
      <c r="G967" s="552"/>
      <c r="H967" s="552"/>
      <c r="I967" s="552"/>
      <c r="J967" s="552"/>
      <c r="K967" s="553"/>
      <c r="L967" s="554"/>
      <c r="M967" s="554"/>
      <c r="N967" s="554"/>
      <c r="O967" s="555"/>
      <c r="P967" s="555"/>
    </row>
    <row r="968" spans="1:16" ht="21.75" customHeight="1" x14ac:dyDescent="0.25">
      <c r="A968" s="551"/>
      <c r="B968" s="551"/>
      <c r="C968" s="551"/>
      <c r="D968" s="551"/>
      <c r="E968" s="552"/>
      <c r="F968" s="552"/>
      <c r="G968" s="552"/>
      <c r="H968" s="552"/>
      <c r="I968" s="552"/>
      <c r="J968" s="552"/>
      <c r="K968" s="553"/>
      <c r="L968" s="554"/>
      <c r="M968" s="554"/>
      <c r="N968" s="554"/>
      <c r="O968" s="555"/>
      <c r="P968" s="555"/>
    </row>
    <row r="969" spans="1:16" ht="21.75" customHeight="1" x14ac:dyDescent="0.25">
      <c r="A969" s="551"/>
      <c r="B969" s="551"/>
      <c r="C969" s="551"/>
      <c r="D969" s="551"/>
      <c r="E969" s="552"/>
      <c r="F969" s="552"/>
      <c r="G969" s="552"/>
      <c r="H969" s="552"/>
      <c r="I969" s="552"/>
      <c r="J969" s="552"/>
      <c r="K969" s="553"/>
      <c r="L969" s="554"/>
      <c r="M969" s="554"/>
      <c r="N969" s="554"/>
      <c r="O969" s="555"/>
      <c r="P969" s="555"/>
    </row>
    <row r="970" spans="1:16" ht="21.75" customHeight="1" x14ac:dyDescent="0.25">
      <c r="A970" s="551"/>
      <c r="B970" s="551"/>
      <c r="C970" s="551"/>
      <c r="D970" s="551"/>
      <c r="E970" s="552"/>
      <c r="F970" s="552"/>
      <c r="G970" s="552"/>
      <c r="H970" s="552"/>
      <c r="I970" s="552"/>
      <c r="J970" s="552"/>
      <c r="K970" s="553"/>
      <c r="L970" s="554"/>
      <c r="M970" s="554"/>
      <c r="N970" s="554"/>
      <c r="O970" s="555"/>
      <c r="P970" s="555"/>
    </row>
    <row r="971" spans="1:16" ht="21.75" customHeight="1" x14ac:dyDescent="0.25">
      <c r="A971" s="551"/>
      <c r="B971" s="551"/>
      <c r="C971" s="551"/>
      <c r="D971" s="551"/>
      <c r="E971" s="552"/>
      <c r="F971" s="552"/>
      <c r="G971" s="552"/>
      <c r="H971" s="552"/>
      <c r="I971" s="552"/>
      <c r="J971" s="552"/>
      <c r="K971" s="553"/>
      <c r="L971" s="554"/>
      <c r="M971" s="554"/>
      <c r="N971" s="554"/>
      <c r="O971" s="555"/>
      <c r="P971" s="555"/>
    </row>
    <row r="972" spans="1:16" ht="21.75" customHeight="1" x14ac:dyDescent="0.25">
      <c r="A972" s="551"/>
      <c r="B972" s="551"/>
      <c r="C972" s="551"/>
      <c r="D972" s="551"/>
      <c r="E972" s="552"/>
      <c r="F972" s="552"/>
      <c r="G972" s="552"/>
      <c r="H972" s="552"/>
      <c r="I972" s="552"/>
      <c r="J972" s="552"/>
      <c r="K972" s="553"/>
      <c r="L972" s="554"/>
      <c r="M972" s="554"/>
      <c r="N972" s="554"/>
      <c r="O972" s="555"/>
      <c r="P972" s="555"/>
    </row>
    <row r="973" spans="1:16" ht="21.75" customHeight="1" x14ac:dyDescent="0.25">
      <c r="A973" s="551"/>
      <c r="B973" s="551"/>
      <c r="C973" s="551"/>
      <c r="D973" s="551"/>
      <c r="E973" s="552"/>
      <c r="F973" s="552"/>
      <c r="G973" s="552"/>
      <c r="H973" s="552"/>
      <c r="I973" s="552"/>
      <c r="J973" s="552"/>
      <c r="K973" s="553"/>
      <c r="L973" s="554"/>
      <c r="M973" s="554"/>
      <c r="N973" s="554"/>
      <c r="O973" s="555"/>
      <c r="P973" s="555"/>
    </row>
    <row r="974" spans="1:16" ht="21.75" customHeight="1" x14ac:dyDescent="0.25">
      <c r="A974" s="551"/>
      <c r="B974" s="551"/>
      <c r="C974" s="551"/>
      <c r="D974" s="551"/>
      <c r="E974" s="552"/>
      <c r="F974" s="552"/>
      <c r="G974" s="552"/>
      <c r="H974" s="552"/>
      <c r="I974" s="552"/>
      <c r="J974" s="552"/>
      <c r="K974" s="553"/>
      <c r="L974" s="554"/>
      <c r="M974" s="554"/>
      <c r="N974" s="554"/>
      <c r="O974" s="555"/>
      <c r="P974" s="555"/>
    </row>
    <row r="975" spans="1:16" ht="21.75" customHeight="1" x14ac:dyDescent="0.25">
      <c r="A975" s="551"/>
      <c r="B975" s="551"/>
      <c r="C975" s="551"/>
      <c r="D975" s="551"/>
      <c r="E975" s="552"/>
      <c r="F975" s="552"/>
      <c r="G975" s="552"/>
      <c r="H975" s="552"/>
      <c r="I975" s="552"/>
      <c r="J975" s="552"/>
      <c r="K975" s="553"/>
      <c r="L975" s="554"/>
      <c r="M975" s="554"/>
      <c r="N975" s="554"/>
      <c r="O975" s="555"/>
      <c r="P975" s="555"/>
    </row>
    <row r="976" spans="1:16" ht="21.75" customHeight="1" x14ac:dyDescent="0.25">
      <c r="A976" s="551"/>
      <c r="B976" s="551"/>
      <c r="C976" s="551"/>
      <c r="D976" s="551"/>
      <c r="E976" s="552"/>
      <c r="F976" s="552"/>
      <c r="G976" s="552"/>
      <c r="H976" s="552"/>
      <c r="I976" s="552"/>
      <c r="J976" s="552"/>
      <c r="K976" s="553"/>
      <c r="L976" s="554"/>
      <c r="M976" s="554"/>
      <c r="N976" s="554"/>
      <c r="O976" s="555"/>
      <c r="P976" s="555"/>
    </row>
    <row r="977" spans="1:16" ht="21.75" customHeight="1" x14ac:dyDescent="0.25">
      <c r="A977" s="551"/>
      <c r="B977" s="551"/>
      <c r="C977" s="551"/>
      <c r="D977" s="551"/>
      <c r="E977" s="552"/>
      <c r="F977" s="552"/>
      <c r="G977" s="552"/>
      <c r="H977" s="552"/>
      <c r="I977" s="552"/>
      <c r="J977" s="552"/>
      <c r="K977" s="553"/>
      <c r="L977" s="554"/>
      <c r="M977" s="554"/>
      <c r="N977" s="554"/>
      <c r="O977" s="555"/>
      <c r="P977" s="555"/>
    </row>
    <row r="978" spans="1:16" ht="21.75" customHeight="1" x14ac:dyDescent="0.25">
      <c r="A978" s="551"/>
      <c r="B978" s="551"/>
      <c r="C978" s="551"/>
      <c r="D978" s="551"/>
      <c r="E978" s="552"/>
      <c r="F978" s="552"/>
      <c r="G978" s="552"/>
      <c r="H978" s="552"/>
      <c r="I978" s="552"/>
      <c r="J978" s="552"/>
      <c r="K978" s="553"/>
      <c r="L978" s="554"/>
      <c r="M978" s="554"/>
      <c r="N978" s="554"/>
      <c r="O978" s="555"/>
      <c r="P978" s="555"/>
    </row>
    <row r="979" spans="1:16" ht="21.75" customHeight="1" x14ac:dyDescent="0.25">
      <c r="A979" s="551"/>
      <c r="B979" s="551"/>
      <c r="C979" s="551"/>
      <c r="D979" s="551"/>
      <c r="E979" s="552"/>
      <c r="F979" s="552"/>
      <c r="G979" s="552"/>
      <c r="H979" s="552"/>
      <c r="I979" s="552"/>
      <c r="J979" s="552"/>
      <c r="K979" s="553"/>
      <c r="L979" s="554"/>
      <c r="M979" s="554"/>
      <c r="N979" s="554"/>
      <c r="O979" s="555"/>
      <c r="P979" s="555"/>
    </row>
    <row r="980" spans="1:16" ht="21.75" customHeight="1" x14ac:dyDescent="0.25">
      <c r="A980" s="551"/>
      <c r="B980" s="551"/>
      <c r="C980" s="551"/>
      <c r="D980" s="551"/>
      <c r="E980" s="552"/>
      <c r="F980" s="552"/>
      <c r="G980" s="552"/>
      <c r="H980" s="552"/>
      <c r="I980" s="552"/>
      <c r="J980" s="552"/>
      <c r="K980" s="553"/>
      <c r="L980" s="554"/>
      <c r="M980" s="554"/>
      <c r="N980" s="554"/>
      <c r="O980" s="555"/>
      <c r="P980" s="555"/>
    </row>
    <row r="981" spans="1:16" ht="21.75" customHeight="1" x14ac:dyDescent="0.25">
      <c r="A981" s="551"/>
      <c r="B981" s="551"/>
      <c r="C981" s="551"/>
      <c r="D981" s="551"/>
      <c r="E981" s="552"/>
      <c r="F981" s="552"/>
      <c r="G981" s="552"/>
      <c r="H981" s="552"/>
      <c r="I981" s="552"/>
      <c r="J981" s="552"/>
      <c r="K981" s="553"/>
      <c r="L981" s="554"/>
      <c r="M981" s="554"/>
      <c r="N981" s="554"/>
      <c r="O981" s="555"/>
      <c r="P981" s="555"/>
    </row>
    <row r="982" spans="1:16" ht="21.75" customHeight="1" x14ac:dyDescent="0.25">
      <c r="A982" s="551"/>
      <c r="B982" s="551"/>
      <c r="C982" s="551"/>
      <c r="D982" s="551"/>
      <c r="E982" s="552"/>
      <c r="F982" s="552"/>
      <c r="G982" s="552"/>
      <c r="H982" s="552"/>
      <c r="I982" s="552"/>
      <c r="J982" s="552"/>
      <c r="K982" s="553"/>
      <c r="L982" s="554"/>
      <c r="M982" s="554"/>
      <c r="N982" s="554"/>
      <c r="O982" s="555"/>
      <c r="P982" s="555"/>
    </row>
    <row r="983" spans="1:16" ht="21.75" customHeight="1" x14ac:dyDescent="0.25">
      <c r="A983" s="551"/>
      <c r="B983" s="551"/>
      <c r="C983" s="551"/>
      <c r="D983" s="551"/>
      <c r="E983" s="552"/>
      <c r="F983" s="552"/>
      <c r="G983" s="552"/>
      <c r="H983" s="552"/>
      <c r="I983" s="552"/>
      <c r="J983" s="552"/>
      <c r="K983" s="553"/>
      <c r="L983" s="554"/>
      <c r="M983" s="554"/>
      <c r="N983" s="554"/>
      <c r="O983" s="555"/>
      <c r="P983" s="555"/>
    </row>
    <row r="984" spans="1:16" ht="21.75" customHeight="1" x14ac:dyDescent="0.25">
      <c r="A984" s="551"/>
      <c r="B984" s="551"/>
      <c r="C984" s="551"/>
      <c r="D984" s="551"/>
      <c r="E984" s="552"/>
      <c r="F984" s="552"/>
      <c r="G984" s="552"/>
      <c r="H984" s="552"/>
      <c r="I984" s="552"/>
      <c r="J984" s="552"/>
      <c r="K984" s="553"/>
      <c r="L984" s="554"/>
      <c r="M984" s="554"/>
      <c r="N984" s="554"/>
      <c r="O984" s="555"/>
      <c r="P984" s="555"/>
    </row>
    <row r="985" spans="1:16" ht="21.75" customHeight="1" x14ac:dyDescent="0.25">
      <c r="A985" s="551"/>
      <c r="B985" s="551"/>
      <c r="C985" s="551"/>
      <c r="D985" s="551"/>
      <c r="E985" s="552"/>
      <c r="F985" s="552"/>
      <c r="G985" s="552"/>
      <c r="H985" s="552"/>
      <c r="I985" s="552"/>
      <c r="J985" s="552"/>
      <c r="K985" s="553"/>
      <c r="L985" s="554"/>
      <c r="M985" s="554"/>
      <c r="N985" s="554"/>
      <c r="O985" s="555"/>
      <c r="P985" s="555"/>
    </row>
    <row r="986" spans="1:16" ht="21.75" customHeight="1" x14ac:dyDescent="0.25">
      <c r="A986" s="551"/>
      <c r="B986" s="551"/>
      <c r="C986" s="551"/>
      <c r="D986" s="551"/>
      <c r="E986" s="552"/>
      <c r="F986" s="552"/>
      <c r="G986" s="552"/>
      <c r="H986" s="552"/>
      <c r="I986" s="552"/>
      <c r="J986" s="552"/>
      <c r="K986" s="553"/>
      <c r="L986" s="554"/>
      <c r="M986" s="554"/>
      <c r="N986" s="554"/>
      <c r="O986" s="555"/>
      <c r="P986" s="555"/>
    </row>
    <row r="987" spans="1:16" ht="21.75" customHeight="1" x14ac:dyDescent="0.25">
      <c r="A987" s="551"/>
      <c r="B987" s="551"/>
      <c r="C987" s="551"/>
      <c r="D987" s="551"/>
      <c r="E987" s="552"/>
      <c r="F987" s="552"/>
      <c r="G987" s="552"/>
      <c r="H987" s="552"/>
      <c r="I987" s="552"/>
      <c r="J987" s="552"/>
      <c r="K987" s="553"/>
      <c r="L987" s="554"/>
      <c r="M987" s="554"/>
      <c r="N987" s="554"/>
      <c r="O987" s="555"/>
      <c r="P987" s="555"/>
    </row>
    <row r="988" spans="1:16" ht="21.75" customHeight="1" x14ac:dyDescent="0.25">
      <c r="A988" s="551"/>
      <c r="B988" s="551"/>
      <c r="C988" s="551"/>
      <c r="D988" s="551"/>
      <c r="E988" s="552"/>
      <c r="F988" s="552"/>
      <c r="G988" s="552"/>
      <c r="H988" s="552"/>
      <c r="I988" s="552"/>
      <c r="J988" s="552"/>
      <c r="K988" s="553"/>
      <c r="L988" s="554"/>
      <c r="M988" s="554"/>
      <c r="N988" s="554"/>
      <c r="O988" s="555"/>
      <c r="P988" s="555"/>
    </row>
    <row r="989" spans="1:16" ht="21.75" customHeight="1" x14ac:dyDescent="0.25">
      <c r="A989" s="551"/>
      <c r="B989" s="551"/>
      <c r="C989" s="551"/>
      <c r="D989" s="551"/>
      <c r="E989" s="552"/>
      <c r="F989" s="552"/>
      <c r="G989" s="552"/>
      <c r="H989" s="552"/>
      <c r="I989" s="552"/>
      <c r="J989" s="552"/>
      <c r="K989" s="553"/>
      <c r="L989" s="554"/>
      <c r="M989" s="554"/>
      <c r="N989" s="554"/>
      <c r="O989" s="555"/>
      <c r="P989" s="555"/>
    </row>
    <row r="990" spans="1:16" ht="21.75" customHeight="1" x14ac:dyDescent="0.25">
      <c r="A990" s="551"/>
      <c r="B990" s="551"/>
      <c r="C990" s="551"/>
      <c r="D990" s="551"/>
      <c r="E990" s="552"/>
      <c r="F990" s="552"/>
      <c r="G990" s="552"/>
      <c r="H990" s="552"/>
      <c r="I990" s="552"/>
      <c r="J990" s="552"/>
      <c r="K990" s="553"/>
      <c r="L990" s="554"/>
      <c r="M990" s="554"/>
      <c r="N990" s="554"/>
      <c r="O990" s="555"/>
      <c r="P990" s="555"/>
    </row>
    <row r="991" spans="1:16" ht="21.75" customHeight="1" x14ac:dyDescent="0.25">
      <c r="A991" s="551"/>
      <c r="B991" s="551"/>
      <c r="C991" s="551"/>
      <c r="D991" s="551"/>
      <c r="E991" s="552"/>
      <c r="F991" s="552"/>
      <c r="G991" s="552"/>
      <c r="H991" s="552"/>
      <c r="I991" s="552"/>
      <c r="J991" s="552"/>
      <c r="K991" s="553"/>
      <c r="L991" s="554"/>
      <c r="M991" s="554"/>
      <c r="N991" s="554"/>
      <c r="O991" s="555"/>
      <c r="P991" s="555"/>
    </row>
    <row r="992" spans="1:16" ht="21.75" customHeight="1" x14ac:dyDescent="0.25">
      <c r="A992" s="551"/>
      <c r="B992" s="551"/>
      <c r="C992" s="551"/>
      <c r="D992" s="551"/>
      <c r="E992" s="552"/>
      <c r="F992" s="552"/>
      <c r="G992" s="552"/>
      <c r="H992" s="552"/>
      <c r="I992" s="552"/>
      <c r="J992" s="552"/>
      <c r="K992" s="553"/>
      <c r="L992" s="554"/>
      <c r="M992" s="554"/>
      <c r="N992" s="554"/>
      <c r="O992" s="555"/>
      <c r="P992" s="555"/>
    </row>
    <row r="993" spans="1:16" ht="21.75" customHeight="1" x14ac:dyDescent="0.25">
      <c r="A993" s="551"/>
      <c r="B993" s="551"/>
      <c r="C993" s="551"/>
      <c r="D993" s="551"/>
      <c r="E993" s="552"/>
      <c r="F993" s="552"/>
      <c r="G993" s="552"/>
      <c r="H993" s="552"/>
      <c r="I993" s="552"/>
      <c r="J993" s="552"/>
      <c r="K993" s="553"/>
      <c r="L993" s="554"/>
      <c r="M993" s="554"/>
      <c r="N993" s="554"/>
      <c r="O993" s="555"/>
      <c r="P993" s="555"/>
    </row>
    <row r="994" spans="1:16" ht="21.75" customHeight="1" x14ac:dyDescent="0.25">
      <c r="A994" s="551"/>
      <c r="B994" s="551"/>
      <c r="C994" s="551"/>
      <c r="D994" s="551"/>
      <c r="E994" s="552"/>
      <c r="F994" s="552"/>
      <c r="G994" s="552"/>
      <c r="H994" s="552"/>
      <c r="I994" s="552"/>
      <c r="J994" s="552"/>
      <c r="K994" s="553"/>
      <c r="L994" s="554"/>
      <c r="M994" s="554"/>
      <c r="N994" s="554"/>
      <c r="O994" s="555"/>
      <c r="P994" s="555"/>
    </row>
    <row r="995" spans="1:16" ht="21.75" customHeight="1" x14ac:dyDescent="0.25">
      <c r="A995" s="551"/>
      <c r="B995" s="551"/>
      <c r="C995" s="551"/>
      <c r="D995" s="551"/>
      <c r="E995" s="552"/>
      <c r="F995" s="552"/>
      <c r="G995" s="552"/>
      <c r="H995" s="552"/>
      <c r="I995" s="552"/>
      <c r="J995" s="552"/>
      <c r="K995" s="553"/>
      <c r="L995" s="554"/>
      <c r="M995" s="554"/>
      <c r="N995" s="554"/>
      <c r="O995" s="555"/>
      <c r="P995" s="555"/>
    </row>
    <row r="996" spans="1:16" ht="21.75" customHeight="1" x14ac:dyDescent="0.25">
      <c r="A996" s="551"/>
      <c r="B996" s="551"/>
      <c r="C996" s="551"/>
      <c r="D996" s="551"/>
      <c r="E996" s="552"/>
      <c r="F996" s="552"/>
      <c r="G996" s="552"/>
      <c r="H996" s="552"/>
      <c r="I996" s="552"/>
      <c r="J996" s="552"/>
      <c r="K996" s="553"/>
      <c r="L996" s="554"/>
      <c r="M996" s="554"/>
      <c r="N996" s="554"/>
      <c r="O996" s="555"/>
      <c r="P996" s="555"/>
    </row>
    <row r="997" spans="1:16" ht="21.75" customHeight="1" x14ac:dyDescent="0.25">
      <c r="A997" s="551"/>
      <c r="B997" s="551"/>
      <c r="C997" s="551"/>
      <c r="D997" s="551"/>
      <c r="E997" s="552"/>
      <c r="F997" s="552"/>
      <c r="G997" s="552"/>
      <c r="H997" s="552"/>
      <c r="I997" s="552"/>
      <c r="J997" s="552"/>
      <c r="K997" s="553"/>
      <c r="L997" s="554"/>
      <c r="M997" s="554"/>
      <c r="N997" s="554"/>
      <c r="O997" s="555"/>
      <c r="P997" s="555"/>
    </row>
    <row r="998" spans="1:16" ht="21.75" customHeight="1" x14ac:dyDescent="0.25">
      <c r="A998" s="551"/>
      <c r="B998" s="551"/>
      <c r="C998" s="551"/>
      <c r="D998" s="551"/>
      <c r="E998" s="552"/>
      <c r="F998" s="552"/>
      <c r="G998" s="552"/>
      <c r="H998" s="552"/>
      <c r="I998" s="552"/>
      <c r="J998" s="552"/>
      <c r="K998" s="553"/>
      <c r="L998" s="554"/>
      <c r="M998" s="554"/>
      <c r="N998" s="554"/>
      <c r="O998" s="555"/>
      <c r="P998" s="555"/>
    </row>
    <row r="999" spans="1:16" ht="21.75" customHeight="1" x14ac:dyDescent="0.25">
      <c r="A999" s="551"/>
      <c r="B999" s="551"/>
      <c r="C999" s="551"/>
      <c r="D999" s="551"/>
      <c r="E999" s="552"/>
      <c r="F999" s="552"/>
      <c r="G999" s="552"/>
      <c r="H999" s="552"/>
      <c r="I999" s="552"/>
      <c r="J999" s="552"/>
      <c r="K999" s="553"/>
      <c r="L999" s="554"/>
      <c r="M999" s="554"/>
      <c r="N999" s="554"/>
      <c r="O999" s="555"/>
      <c r="P999" s="555"/>
    </row>
    <row r="1000" spans="1:16" ht="21.75" customHeight="1" x14ac:dyDescent="0.25">
      <c r="A1000" s="551"/>
      <c r="B1000" s="551"/>
      <c r="C1000" s="551"/>
      <c r="D1000" s="551"/>
      <c r="E1000" s="552"/>
      <c r="F1000" s="552"/>
      <c r="G1000" s="552"/>
      <c r="H1000" s="552"/>
      <c r="I1000" s="552"/>
      <c r="J1000" s="552"/>
      <c r="K1000" s="553"/>
      <c r="L1000" s="554"/>
      <c r="M1000" s="554"/>
      <c r="N1000" s="554"/>
      <c r="O1000" s="555"/>
      <c r="P1000" s="555"/>
    </row>
    <row r="1001" spans="1:16" ht="21.75" customHeight="1" x14ac:dyDescent="0.25">
      <c r="A1001" s="551"/>
      <c r="B1001" s="551"/>
      <c r="C1001" s="551"/>
      <c r="D1001" s="551"/>
      <c r="E1001" s="552"/>
      <c r="F1001" s="552"/>
      <c r="G1001" s="552"/>
      <c r="H1001" s="552"/>
      <c r="I1001" s="552"/>
      <c r="J1001" s="552"/>
      <c r="K1001" s="553"/>
      <c r="L1001" s="554"/>
      <c r="M1001" s="554"/>
      <c r="N1001" s="554"/>
      <c r="O1001" s="555"/>
      <c r="P1001" s="555"/>
    </row>
    <row r="1002" spans="1:16" ht="21.75" customHeight="1" x14ac:dyDescent="0.25">
      <c r="A1002" s="551"/>
      <c r="B1002" s="551"/>
      <c r="C1002" s="551"/>
      <c r="D1002" s="551"/>
      <c r="E1002" s="552"/>
      <c r="F1002" s="552"/>
      <c r="G1002" s="552"/>
      <c r="H1002" s="552"/>
      <c r="I1002" s="552"/>
      <c r="J1002" s="552"/>
      <c r="K1002" s="553"/>
      <c r="L1002" s="554"/>
      <c r="M1002" s="554"/>
      <c r="N1002" s="554"/>
      <c r="O1002" s="555"/>
      <c r="P1002" s="555"/>
    </row>
    <row r="1003" spans="1:16" ht="21.75" customHeight="1" x14ac:dyDescent="0.25">
      <c r="A1003" s="551"/>
      <c r="B1003" s="551"/>
      <c r="C1003" s="551"/>
      <c r="D1003" s="551"/>
      <c r="E1003" s="552"/>
      <c r="F1003" s="552"/>
      <c r="G1003" s="552"/>
      <c r="H1003" s="552"/>
      <c r="I1003" s="552"/>
      <c r="J1003" s="552"/>
      <c r="K1003" s="553"/>
      <c r="L1003" s="554"/>
      <c r="M1003" s="554"/>
      <c r="N1003" s="554"/>
      <c r="O1003" s="555"/>
      <c r="P1003" s="555"/>
    </row>
    <row r="1004" spans="1:16" ht="21.75" customHeight="1" x14ac:dyDescent="0.25">
      <c r="A1004" s="551"/>
      <c r="B1004" s="551"/>
      <c r="C1004" s="551"/>
      <c r="D1004" s="551"/>
      <c r="E1004" s="552"/>
      <c r="F1004" s="552"/>
      <c r="G1004" s="552"/>
      <c r="H1004" s="552"/>
      <c r="I1004" s="552"/>
      <c r="J1004" s="552"/>
      <c r="K1004" s="553"/>
      <c r="L1004" s="554"/>
      <c r="M1004" s="554"/>
      <c r="N1004" s="554"/>
      <c r="O1004" s="555"/>
      <c r="P1004" s="555"/>
    </row>
    <row r="1005" spans="1:16" ht="21.75" customHeight="1" x14ac:dyDescent="0.25">
      <c r="A1005" s="551"/>
      <c r="B1005" s="551"/>
      <c r="C1005" s="551"/>
      <c r="D1005" s="551"/>
      <c r="E1005" s="552"/>
      <c r="F1005" s="552"/>
      <c r="G1005" s="552"/>
      <c r="H1005" s="552"/>
      <c r="I1005" s="552"/>
      <c r="J1005" s="552"/>
      <c r="K1005" s="553"/>
      <c r="L1005" s="554"/>
      <c r="M1005" s="554"/>
      <c r="N1005" s="554"/>
      <c r="O1005" s="555"/>
      <c r="P1005" s="555"/>
    </row>
    <row r="1006" spans="1:16" ht="21.75" customHeight="1" x14ac:dyDescent="0.25">
      <c r="A1006" s="551"/>
      <c r="B1006" s="551"/>
      <c r="C1006" s="551"/>
      <c r="D1006" s="551"/>
      <c r="E1006" s="552"/>
      <c r="F1006" s="552"/>
      <c r="G1006" s="552"/>
      <c r="H1006" s="552"/>
      <c r="I1006" s="552"/>
      <c r="J1006" s="552"/>
      <c r="K1006" s="553"/>
      <c r="L1006" s="554"/>
      <c r="M1006" s="554"/>
      <c r="N1006" s="554"/>
      <c r="O1006" s="555"/>
      <c r="P1006" s="555"/>
    </row>
    <row r="1007" spans="1:16" ht="21.75" customHeight="1" x14ac:dyDescent="0.25">
      <c r="A1007" s="551"/>
      <c r="B1007" s="551"/>
      <c r="C1007" s="551"/>
      <c r="D1007" s="551"/>
      <c r="E1007" s="552"/>
      <c r="F1007" s="552"/>
      <c r="G1007" s="552"/>
      <c r="H1007" s="552"/>
      <c r="I1007" s="552"/>
      <c r="J1007" s="552"/>
      <c r="K1007" s="553"/>
      <c r="L1007" s="554"/>
      <c r="M1007" s="554"/>
      <c r="N1007" s="554"/>
      <c r="O1007" s="555"/>
      <c r="P1007" s="555"/>
    </row>
    <row r="1008" spans="1:16" ht="21.75" customHeight="1" x14ac:dyDescent="0.25">
      <c r="A1008" s="551"/>
      <c r="B1008" s="551"/>
      <c r="C1008" s="551"/>
      <c r="D1008" s="551"/>
      <c r="E1008" s="552"/>
      <c r="F1008" s="552"/>
      <c r="G1008" s="552"/>
      <c r="H1008" s="552"/>
      <c r="I1008" s="552"/>
      <c r="J1008" s="552"/>
      <c r="K1008" s="553"/>
      <c r="L1008" s="554"/>
      <c r="M1008" s="554"/>
      <c r="N1008" s="554"/>
      <c r="O1008" s="555"/>
      <c r="P1008" s="555"/>
    </row>
    <row r="1009" spans="1:16" ht="21.75" customHeight="1" x14ac:dyDescent="0.25">
      <c r="A1009" s="551"/>
      <c r="B1009" s="551"/>
      <c r="C1009" s="551"/>
      <c r="D1009" s="551"/>
      <c r="E1009" s="552"/>
      <c r="F1009" s="552"/>
      <c r="G1009" s="552"/>
      <c r="H1009" s="552"/>
      <c r="I1009" s="552"/>
      <c r="J1009" s="552"/>
      <c r="K1009" s="553"/>
      <c r="L1009" s="554"/>
      <c r="M1009" s="554"/>
      <c r="N1009" s="554"/>
      <c r="O1009" s="555"/>
      <c r="P1009" s="555"/>
    </row>
    <row r="1010" spans="1:16" ht="21.75" customHeight="1" x14ac:dyDescent="0.25">
      <c r="A1010" s="551"/>
      <c r="B1010" s="551"/>
      <c r="C1010" s="551"/>
      <c r="D1010" s="551"/>
      <c r="E1010" s="552"/>
      <c r="F1010" s="552"/>
      <c r="G1010" s="552"/>
      <c r="H1010" s="552"/>
      <c r="I1010" s="552"/>
      <c r="J1010" s="552"/>
      <c r="K1010" s="553"/>
      <c r="L1010" s="554"/>
      <c r="M1010" s="554"/>
      <c r="N1010" s="554"/>
      <c r="O1010" s="555"/>
      <c r="P1010" s="555"/>
    </row>
    <row r="1011" spans="1:16" ht="21.75" customHeight="1" x14ac:dyDescent="0.25">
      <c r="A1011" s="551"/>
      <c r="B1011" s="551"/>
      <c r="C1011" s="551"/>
      <c r="D1011" s="551"/>
      <c r="E1011" s="552"/>
      <c r="F1011" s="552"/>
      <c r="G1011" s="552"/>
      <c r="H1011" s="552"/>
      <c r="I1011" s="552"/>
      <c r="J1011" s="552"/>
      <c r="K1011" s="553"/>
      <c r="L1011" s="554"/>
      <c r="M1011" s="554"/>
      <c r="N1011" s="554"/>
      <c r="O1011" s="555"/>
      <c r="P1011" s="555"/>
    </row>
    <row r="1012" spans="1:16" ht="21.75" customHeight="1" x14ac:dyDescent="0.25">
      <c r="A1012" s="551"/>
      <c r="B1012" s="551"/>
      <c r="C1012" s="551"/>
      <c r="D1012" s="551"/>
      <c r="E1012" s="552"/>
      <c r="F1012" s="552"/>
      <c r="G1012" s="552"/>
      <c r="H1012" s="552"/>
      <c r="I1012" s="552"/>
      <c r="J1012" s="552"/>
      <c r="K1012" s="553"/>
      <c r="L1012" s="554"/>
      <c r="M1012" s="554"/>
      <c r="N1012" s="554"/>
      <c r="O1012" s="555"/>
      <c r="P1012" s="555"/>
    </row>
    <row r="1013" spans="1:16" ht="21.75" customHeight="1" x14ac:dyDescent="0.25">
      <c r="A1013" s="551"/>
      <c r="B1013" s="551"/>
      <c r="C1013" s="551"/>
      <c r="D1013" s="551"/>
      <c r="E1013" s="552"/>
      <c r="F1013" s="552"/>
      <c r="G1013" s="552"/>
      <c r="H1013" s="552"/>
      <c r="I1013" s="552"/>
      <c r="J1013" s="552"/>
      <c r="K1013" s="553"/>
      <c r="L1013" s="554"/>
      <c r="M1013" s="554"/>
      <c r="N1013" s="554"/>
      <c r="O1013" s="555"/>
      <c r="P1013" s="555"/>
    </row>
    <row r="1014" spans="1:16" ht="21.75" customHeight="1" x14ac:dyDescent="0.25">
      <c r="A1014" s="551"/>
      <c r="B1014" s="551"/>
      <c r="C1014" s="551"/>
      <c r="D1014" s="551"/>
      <c r="E1014" s="552"/>
      <c r="F1014" s="552"/>
      <c r="G1014" s="552"/>
      <c r="H1014" s="552"/>
      <c r="I1014" s="552"/>
      <c r="J1014" s="552"/>
      <c r="K1014" s="553"/>
      <c r="L1014" s="554"/>
      <c r="M1014" s="554"/>
      <c r="N1014" s="554"/>
      <c r="O1014" s="555"/>
      <c r="P1014" s="555"/>
    </row>
    <row r="1015" spans="1:16" ht="21.75" customHeight="1" x14ac:dyDescent="0.25">
      <c r="A1015" s="551"/>
      <c r="B1015" s="551"/>
      <c r="C1015" s="551"/>
      <c r="D1015" s="551"/>
      <c r="E1015" s="552"/>
      <c r="F1015" s="552"/>
      <c r="G1015" s="552"/>
      <c r="H1015" s="552"/>
      <c r="I1015" s="552"/>
      <c r="J1015" s="552"/>
      <c r="K1015" s="553"/>
      <c r="L1015" s="554"/>
      <c r="M1015" s="554"/>
      <c r="N1015" s="554"/>
      <c r="O1015" s="555"/>
      <c r="P1015" s="555"/>
    </row>
    <row r="1016" spans="1:16" ht="21.75" customHeight="1" x14ac:dyDescent="0.25">
      <c r="A1016" s="551"/>
      <c r="B1016" s="551"/>
      <c r="C1016" s="551"/>
      <c r="D1016" s="551"/>
      <c r="E1016" s="552"/>
      <c r="F1016" s="552"/>
      <c r="G1016" s="552"/>
      <c r="H1016" s="552"/>
      <c r="I1016" s="552"/>
      <c r="J1016" s="552"/>
      <c r="K1016" s="553"/>
      <c r="L1016" s="554"/>
      <c r="M1016" s="554"/>
      <c r="N1016" s="554"/>
      <c r="O1016" s="555"/>
      <c r="P1016" s="555"/>
    </row>
    <row r="1017" spans="1:16" ht="21.75" customHeight="1" x14ac:dyDescent="0.25">
      <c r="A1017" s="551"/>
      <c r="B1017" s="551"/>
      <c r="C1017" s="551"/>
      <c r="D1017" s="551"/>
      <c r="E1017" s="552"/>
      <c r="F1017" s="552"/>
      <c r="G1017" s="552"/>
      <c r="H1017" s="552"/>
      <c r="I1017" s="552"/>
      <c r="J1017" s="552"/>
      <c r="K1017" s="553"/>
      <c r="L1017" s="554"/>
      <c r="M1017" s="554"/>
      <c r="N1017" s="554"/>
      <c r="O1017" s="555"/>
      <c r="P1017" s="555"/>
    </row>
    <row r="1018" spans="1:16" ht="21.75" customHeight="1" x14ac:dyDescent="0.25">
      <c r="A1018" s="551"/>
      <c r="B1018" s="551"/>
      <c r="C1018" s="551"/>
      <c r="D1018" s="551"/>
      <c r="E1018" s="552"/>
      <c r="F1018" s="552"/>
      <c r="G1018" s="552"/>
      <c r="H1018" s="552"/>
      <c r="I1018" s="552"/>
      <c r="J1018" s="552"/>
      <c r="K1018" s="553"/>
      <c r="L1018" s="554"/>
      <c r="M1018" s="554"/>
      <c r="N1018" s="554"/>
      <c r="O1018" s="555"/>
      <c r="P1018" s="555"/>
    </row>
    <row r="1019" spans="1:16" ht="21.75" customHeight="1" x14ac:dyDescent="0.25">
      <c r="A1019" s="551"/>
      <c r="B1019" s="551"/>
      <c r="C1019" s="551"/>
      <c r="D1019" s="551"/>
      <c r="E1019" s="552"/>
      <c r="F1019" s="552"/>
      <c r="G1019" s="552"/>
      <c r="H1019" s="552"/>
      <c r="I1019" s="552"/>
      <c r="J1019" s="552"/>
      <c r="K1019" s="553"/>
      <c r="L1019" s="554"/>
      <c r="M1019" s="554"/>
      <c r="N1019" s="554"/>
      <c r="O1019" s="555"/>
      <c r="P1019" s="555"/>
    </row>
    <row r="1020" spans="1:16" ht="21.75" customHeight="1" x14ac:dyDescent="0.25">
      <c r="A1020" s="551"/>
      <c r="B1020" s="551"/>
      <c r="C1020" s="551"/>
      <c r="D1020" s="551"/>
      <c r="E1020" s="552"/>
      <c r="F1020" s="552"/>
      <c r="G1020" s="552"/>
      <c r="H1020" s="552"/>
      <c r="I1020" s="552"/>
      <c r="J1020" s="552"/>
      <c r="K1020" s="553"/>
      <c r="L1020" s="554"/>
      <c r="M1020" s="554"/>
      <c r="N1020" s="554"/>
      <c r="O1020" s="555"/>
      <c r="P1020" s="555"/>
    </row>
    <row r="1021" spans="1:16" ht="21.75" customHeight="1" x14ac:dyDescent="0.25">
      <c r="A1021" s="551"/>
      <c r="B1021" s="551"/>
      <c r="C1021" s="551"/>
      <c r="D1021" s="551"/>
      <c r="E1021" s="552"/>
      <c r="F1021" s="552"/>
      <c r="G1021" s="552"/>
      <c r="H1021" s="552"/>
      <c r="I1021" s="552"/>
      <c r="J1021" s="552"/>
      <c r="K1021" s="553"/>
      <c r="L1021" s="554"/>
      <c r="M1021" s="554"/>
      <c r="N1021" s="554"/>
      <c r="O1021" s="555"/>
      <c r="P1021" s="555"/>
    </row>
    <row r="1022" spans="1:16" ht="21.75" customHeight="1" x14ac:dyDescent="0.25">
      <c r="A1022" s="551"/>
      <c r="B1022" s="551"/>
      <c r="C1022" s="551"/>
      <c r="D1022" s="551"/>
      <c r="E1022" s="552"/>
      <c r="F1022" s="552"/>
      <c r="G1022" s="552"/>
      <c r="H1022" s="552"/>
      <c r="I1022" s="552"/>
      <c r="J1022" s="552"/>
      <c r="K1022" s="553"/>
      <c r="L1022" s="554"/>
      <c r="M1022" s="554"/>
      <c r="N1022" s="554"/>
      <c r="O1022" s="555"/>
      <c r="P1022" s="555"/>
    </row>
    <row r="1023" spans="1:16" ht="21.75" customHeight="1" x14ac:dyDescent="0.25">
      <c r="A1023" s="551"/>
      <c r="B1023" s="551"/>
      <c r="C1023" s="551"/>
      <c r="D1023" s="551"/>
      <c r="E1023" s="552"/>
      <c r="F1023" s="552"/>
      <c r="G1023" s="552"/>
      <c r="H1023" s="552"/>
      <c r="I1023" s="552"/>
      <c r="J1023" s="552"/>
      <c r="K1023" s="553"/>
      <c r="L1023" s="554"/>
      <c r="M1023" s="554"/>
      <c r="N1023" s="554"/>
      <c r="O1023" s="555"/>
      <c r="P1023" s="555"/>
    </row>
    <row r="1024" spans="1:16" ht="21.75" customHeight="1" x14ac:dyDescent="0.25">
      <c r="A1024" s="551"/>
      <c r="B1024" s="551"/>
      <c r="C1024" s="551"/>
      <c r="D1024" s="551"/>
      <c r="E1024" s="552"/>
      <c r="F1024" s="552"/>
      <c r="G1024" s="552"/>
      <c r="H1024" s="552"/>
      <c r="I1024" s="552"/>
      <c r="J1024" s="552"/>
      <c r="K1024" s="553"/>
      <c r="L1024" s="554"/>
      <c r="M1024" s="554"/>
      <c r="N1024" s="554"/>
      <c r="O1024" s="555"/>
      <c r="P1024" s="555"/>
    </row>
    <row r="1025" spans="1:16" ht="21.75" customHeight="1" x14ac:dyDescent="0.25">
      <c r="A1025" s="551"/>
      <c r="B1025" s="551"/>
      <c r="C1025" s="551"/>
      <c r="D1025" s="551"/>
      <c r="E1025" s="552"/>
      <c r="F1025" s="552"/>
      <c r="G1025" s="552"/>
      <c r="H1025" s="552"/>
      <c r="I1025" s="552"/>
      <c r="J1025" s="552"/>
      <c r="K1025" s="553"/>
      <c r="L1025" s="554"/>
      <c r="M1025" s="554"/>
      <c r="N1025" s="554"/>
      <c r="O1025" s="555"/>
      <c r="P1025" s="555"/>
    </row>
    <row r="1026" spans="1:16" ht="21.75" customHeight="1" x14ac:dyDescent="0.25">
      <c r="A1026" s="551"/>
      <c r="B1026" s="551"/>
      <c r="C1026" s="551"/>
      <c r="D1026" s="551"/>
      <c r="E1026" s="552"/>
      <c r="F1026" s="552"/>
      <c r="G1026" s="552"/>
      <c r="H1026" s="552"/>
      <c r="I1026" s="552"/>
      <c r="J1026" s="552"/>
      <c r="K1026" s="553"/>
      <c r="L1026" s="554"/>
      <c r="M1026" s="554"/>
      <c r="N1026" s="554"/>
      <c r="O1026" s="555"/>
      <c r="P1026" s="555"/>
    </row>
    <row r="1027" spans="1:16" ht="21.75" customHeight="1" x14ac:dyDescent="0.25">
      <c r="A1027" s="551"/>
      <c r="B1027" s="551"/>
      <c r="C1027" s="551"/>
      <c r="D1027" s="551"/>
      <c r="E1027" s="552"/>
      <c r="F1027" s="552"/>
      <c r="G1027" s="552"/>
      <c r="H1027" s="552"/>
      <c r="I1027" s="552"/>
      <c r="J1027" s="552"/>
      <c r="K1027" s="553"/>
      <c r="L1027" s="554"/>
      <c r="M1027" s="554"/>
      <c r="N1027" s="554"/>
      <c r="O1027" s="555"/>
      <c r="P1027" s="555"/>
    </row>
    <row r="1028" spans="1:16" ht="21.75" customHeight="1" x14ac:dyDescent="0.25">
      <c r="A1028" s="551"/>
      <c r="B1028" s="551"/>
      <c r="C1028" s="551"/>
      <c r="D1028" s="551"/>
      <c r="E1028" s="552"/>
      <c r="F1028" s="552"/>
      <c r="G1028" s="552"/>
      <c r="H1028" s="552"/>
      <c r="I1028" s="552"/>
      <c r="J1028" s="552"/>
      <c r="K1028" s="553"/>
      <c r="L1028" s="554"/>
      <c r="M1028" s="554"/>
      <c r="N1028" s="554"/>
      <c r="O1028" s="555"/>
      <c r="P1028" s="555"/>
    </row>
    <row r="1029" spans="1:16" ht="21.75" customHeight="1" x14ac:dyDescent="0.25">
      <c r="A1029" s="551"/>
      <c r="B1029" s="551"/>
      <c r="C1029" s="551"/>
      <c r="D1029" s="551"/>
      <c r="E1029" s="552"/>
      <c r="F1029" s="552"/>
      <c r="G1029" s="552"/>
      <c r="H1029" s="552"/>
      <c r="I1029" s="552"/>
      <c r="J1029" s="552"/>
      <c r="K1029" s="553"/>
      <c r="L1029" s="554"/>
      <c r="M1029" s="554"/>
      <c r="N1029" s="554"/>
      <c r="O1029" s="555"/>
      <c r="P1029" s="555"/>
    </row>
    <row r="1030" spans="1:16" ht="21.75" customHeight="1" x14ac:dyDescent="0.25">
      <c r="A1030" s="551"/>
      <c r="B1030" s="551"/>
      <c r="C1030" s="551"/>
      <c r="D1030" s="551"/>
      <c r="E1030" s="552"/>
      <c r="F1030" s="552"/>
      <c r="G1030" s="552"/>
      <c r="H1030" s="552"/>
      <c r="I1030" s="552"/>
      <c r="J1030" s="552"/>
      <c r="K1030" s="553"/>
      <c r="L1030" s="554"/>
      <c r="M1030" s="554"/>
      <c r="N1030" s="554"/>
      <c r="O1030" s="555"/>
      <c r="P1030" s="555"/>
    </row>
    <row r="1031" spans="1:16" ht="21.75" customHeight="1" x14ac:dyDescent="0.25">
      <c r="A1031" s="551"/>
      <c r="B1031" s="551"/>
      <c r="C1031" s="551"/>
      <c r="D1031" s="551"/>
      <c r="E1031" s="552"/>
      <c r="F1031" s="552"/>
      <c r="G1031" s="552"/>
      <c r="H1031" s="552"/>
      <c r="I1031" s="552"/>
      <c r="J1031" s="552"/>
      <c r="K1031" s="553"/>
      <c r="L1031" s="554"/>
      <c r="M1031" s="554"/>
      <c r="N1031" s="554"/>
      <c r="O1031" s="555"/>
      <c r="P1031" s="555"/>
    </row>
    <row r="1032" spans="1:16" ht="21.75" customHeight="1" x14ac:dyDescent="0.25">
      <c r="A1032" s="551"/>
      <c r="B1032" s="551"/>
      <c r="C1032" s="551"/>
      <c r="D1032" s="551"/>
      <c r="E1032" s="552"/>
      <c r="F1032" s="552"/>
      <c r="G1032" s="552"/>
      <c r="H1032" s="552"/>
      <c r="I1032" s="552"/>
      <c r="J1032" s="552"/>
      <c r="K1032" s="553"/>
      <c r="L1032" s="554"/>
      <c r="M1032" s="554"/>
      <c r="N1032" s="554"/>
      <c r="O1032" s="555"/>
      <c r="P1032" s="555"/>
    </row>
    <row r="1033" spans="1:16" ht="21.75" customHeight="1" x14ac:dyDescent="0.25">
      <c r="A1033" s="551"/>
      <c r="B1033" s="551"/>
      <c r="C1033" s="551"/>
      <c r="D1033" s="551"/>
      <c r="E1033" s="552"/>
      <c r="F1033" s="552"/>
      <c r="G1033" s="552"/>
      <c r="H1033" s="552"/>
      <c r="I1033" s="552"/>
      <c r="J1033" s="552"/>
      <c r="K1033" s="553"/>
      <c r="L1033" s="554"/>
      <c r="M1033" s="554"/>
      <c r="N1033" s="554"/>
      <c r="O1033" s="555"/>
      <c r="P1033" s="555"/>
    </row>
    <row r="1034" spans="1:16" ht="21.75" customHeight="1" x14ac:dyDescent="0.25">
      <c r="A1034" s="551"/>
      <c r="B1034" s="551"/>
      <c r="C1034" s="551"/>
      <c r="D1034" s="551"/>
      <c r="E1034" s="552"/>
      <c r="F1034" s="552"/>
      <c r="G1034" s="552"/>
      <c r="H1034" s="552"/>
      <c r="I1034" s="552"/>
      <c r="J1034" s="552"/>
      <c r="K1034" s="553"/>
      <c r="L1034" s="554"/>
      <c r="M1034" s="554"/>
      <c r="N1034" s="554"/>
      <c r="O1034" s="555"/>
      <c r="P1034" s="555"/>
    </row>
    <row r="1035" spans="1:16" ht="21.75" customHeight="1" x14ac:dyDescent="0.25">
      <c r="A1035" s="551"/>
      <c r="B1035" s="551"/>
      <c r="C1035" s="551"/>
      <c r="D1035" s="551"/>
      <c r="E1035" s="552"/>
      <c r="F1035" s="552"/>
      <c r="G1035" s="552"/>
      <c r="H1035" s="552"/>
      <c r="I1035" s="552"/>
      <c r="J1035" s="552"/>
      <c r="K1035" s="553"/>
      <c r="L1035" s="554"/>
      <c r="M1035" s="554"/>
      <c r="N1035" s="554"/>
      <c r="O1035" s="555"/>
      <c r="P1035" s="555"/>
    </row>
    <row r="1036" spans="1:16" ht="21.75" customHeight="1" x14ac:dyDescent="0.25">
      <c r="A1036" s="551"/>
      <c r="B1036" s="551"/>
      <c r="C1036" s="551"/>
      <c r="D1036" s="551"/>
      <c r="E1036" s="552"/>
      <c r="F1036" s="552"/>
      <c r="G1036" s="552"/>
      <c r="H1036" s="552"/>
      <c r="I1036" s="552"/>
      <c r="J1036" s="552"/>
      <c r="K1036" s="553"/>
      <c r="L1036" s="554"/>
      <c r="M1036" s="554"/>
      <c r="N1036" s="554"/>
      <c r="O1036" s="555"/>
      <c r="P1036" s="555"/>
    </row>
    <row r="1037" spans="1:16" ht="21.75" customHeight="1" x14ac:dyDescent="0.25">
      <c r="A1037" s="551"/>
      <c r="B1037" s="551"/>
      <c r="C1037" s="551"/>
      <c r="D1037" s="551"/>
      <c r="E1037" s="552"/>
      <c r="F1037" s="552"/>
      <c r="G1037" s="552"/>
      <c r="H1037" s="552"/>
      <c r="I1037" s="552"/>
      <c r="J1037" s="552"/>
      <c r="K1037" s="553"/>
      <c r="L1037" s="554"/>
      <c r="M1037" s="554"/>
      <c r="N1037" s="554"/>
      <c r="O1037" s="555"/>
      <c r="P1037" s="555"/>
    </row>
    <row r="1038" spans="1:16" ht="21.75" customHeight="1" x14ac:dyDescent="0.25">
      <c r="A1038" s="551"/>
      <c r="B1038" s="551"/>
      <c r="C1038" s="551"/>
      <c r="D1038" s="551"/>
      <c r="E1038" s="552"/>
      <c r="F1038" s="552"/>
      <c r="G1038" s="552"/>
      <c r="H1038" s="552"/>
      <c r="I1038" s="552"/>
      <c r="J1038" s="552"/>
      <c r="K1038" s="553"/>
      <c r="L1038" s="554"/>
      <c r="M1038" s="554"/>
      <c r="N1038" s="554"/>
      <c r="O1038" s="555"/>
      <c r="P1038" s="555"/>
    </row>
    <row r="1039" spans="1:16" ht="21.75" customHeight="1" x14ac:dyDescent="0.25">
      <c r="A1039" s="551"/>
      <c r="B1039" s="551"/>
      <c r="C1039" s="551"/>
      <c r="D1039" s="551"/>
      <c r="E1039" s="552"/>
      <c r="F1039" s="552"/>
      <c r="G1039" s="552"/>
      <c r="H1039" s="552"/>
      <c r="I1039" s="552"/>
      <c r="J1039" s="552"/>
      <c r="K1039" s="553"/>
      <c r="L1039" s="554"/>
      <c r="M1039" s="554"/>
      <c r="N1039" s="554"/>
      <c r="O1039" s="555"/>
      <c r="P1039" s="555"/>
    </row>
    <row r="1040" spans="1:16" ht="21.75" customHeight="1" x14ac:dyDescent="0.25">
      <c r="A1040" s="551"/>
      <c r="B1040" s="551"/>
      <c r="C1040" s="551"/>
      <c r="D1040" s="551"/>
      <c r="E1040" s="552"/>
      <c r="F1040" s="552"/>
      <c r="G1040" s="552"/>
      <c r="H1040" s="552"/>
      <c r="I1040" s="552"/>
      <c r="J1040" s="552"/>
      <c r="K1040" s="553"/>
      <c r="L1040" s="554"/>
      <c r="M1040" s="554"/>
      <c r="N1040" s="554"/>
      <c r="O1040" s="555"/>
      <c r="P1040" s="555"/>
    </row>
    <row r="1041" spans="1:16" ht="21.75" customHeight="1" x14ac:dyDescent="0.25">
      <c r="A1041" s="551"/>
      <c r="B1041" s="551"/>
      <c r="C1041" s="551"/>
      <c r="D1041" s="551"/>
      <c r="E1041" s="552"/>
      <c r="F1041" s="552"/>
      <c r="G1041" s="552"/>
      <c r="H1041" s="552"/>
      <c r="I1041" s="552"/>
      <c r="J1041" s="552"/>
      <c r="K1041" s="553"/>
      <c r="L1041" s="554"/>
      <c r="M1041" s="554"/>
      <c r="N1041" s="554"/>
      <c r="O1041" s="555"/>
      <c r="P1041" s="555"/>
    </row>
    <row r="1042" spans="1:16" ht="21.75" customHeight="1" x14ac:dyDescent="0.25">
      <c r="A1042" s="551"/>
      <c r="B1042" s="551"/>
      <c r="C1042" s="551"/>
      <c r="D1042" s="551"/>
      <c r="E1042" s="552"/>
      <c r="F1042" s="552"/>
      <c r="G1042" s="552"/>
      <c r="H1042" s="552"/>
      <c r="I1042" s="552"/>
      <c r="J1042" s="552"/>
      <c r="K1042" s="553"/>
      <c r="L1042" s="554"/>
      <c r="M1042" s="554"/>
      <c r="N1042" s="554"/>
      <c r="O1042" s="555"/>
      <c r="P1042" s="555"/>
    </row>
    <row r="1043" spans="1:16" ht="21.75" customHeight="1" x14ac:dyDescent="0.25">
      <c r="A1043" s="551"/>
      <c r="B1043" s="551"/>
      <c r="C1043" s="551"/>
      <c r="D1043" s="551"/>
      <c r="E1043" s="552"/>
      <c r="F1043" s="552"/>
      <c r="G1043" s="552"/>
      <c r="H1043" s="552"/>
      <c r="I1043" s="552"/>
      <c r="J1043" s="552"/>
      <c r="K1043" s="553"/>
      <c r="L1043" s="554"/>
      <c r="M1043" s="554"/>
      <c r="N1043" s="554"/>
      <c r="O1043" s="555"/>
      <c r="P1043" s="555"/>
    </row>
    <row r="1044" spans="1:16" ht="21.75" customHeight="1" x14ac:dyDescent="0.25">
      <c r="A1044" s="551"/>
      <c r="B1044" s="551"/>
      <c r="C1044" s="551"/>
      <c r="D1044" s="551"/>
      <c r="E1044" s="552"/>
      <c r="F1044" s="552"/>
      <c r="G1044" s="552"/>
      <c r="H1044" s="552"/>
      <c r="I1044" s="552"/>
      <c r="J1044" s="552"/>
      <c r="K1044" s="553"/>
      <c r="L1044" s="554"/>
      <c r="M1044" s="554"/>
      <c r="N1044" s="554"/>
      <c r="O1044" s="555"/>
      <c r="P1044" s="555"/>
    </row>
    <row r="1045" spans="1:16" ht="21.75" customHeight="1" x14ac:dyDescent="0.25">
      <c r="A1045" s="551"/>
      <c r="B1045" s="551"/>
      <c r="C1045" s="551"/>
      <c r="D1045" s="551"/>
      <c r="E1045" s="552"/>
      <c r="F1045" s="552"/>
      <c r="G1045" s="552"/>
      <c r="H1045" s="552"/>
      <c r="I1045" s="552"/>
      <c r="J1045" s="552"/>
      <c r="K1045" s="553"/>
      <c r="L1045" s="554"/>
      <c r="M1045" s="554"/>
      <c r="N1045" s="554"/>
      <c r="O1045" s="555"/>
      <c r="P1045" s="555"/>
    </row>
    <row r="1046" spans="1:16" ht="21.75" customHeight="1" x14ac:dyDescent="0.25">
      <c r="A1046" s="551"/>
      <c r="B1046" s="551"/>
      <c r="C1046" s="551"/>
      <c r="D1046" s="551"/>
      <c r="E1046" s="552"/>
      <c r="F1046" s="552"/>
      <c r="G1046" s="552"/>
      <c r="H1046" s="552"/>
      <c r="I1046" s="552"/>
      <c r="J1046" s="552"/>
      <c r="K1046" s="553"/>
      <c r="L1046" s="554"/>
      <c r="M1046" s="554"/>
      <c r="N1046" s="554"/>
      <c r="O1046" s="555"/>
      <c r="P1046" s="555"/>
    </row>
    <row r="1047" spans="1:16" ht="21.75" customHeight="1" x14ac:dyDescent="0.25">
      <c r="A1047" s="551"/>
      <c r="B1047" s="551"/>
      <c r="C1047" s="551"/>
      <c r="D1047" s="551"/>
      <c r="E1047" s="552"/>
      <c r="F1047" s="552"/>
      <c r="G1047" s="552"/>
      <c r="H1047" s="552"/>
      <c r="I1047" s="552"/>
      <c r="J1047" s="552"/>
      <c r="K1047" s="553"/>
      <c r="L1047" s="554"/>
      <c r="M1047" s="554"/>
      <c r="N1047" s="554"/>
      <c r="O1047" s="555"/>
      <c r="P1047" s="555"/>
    </row>
    <row r="1048" spans="1:16" ht="21.75" customHeight="1" x14ac:dyDescent="0.25">
      <c r="A1048" s="551"/>
      <c r="B1048" s="551"/>
      <c r="C1048" s="551"/>
      <c r="D1048" s="551"/>
      <c r="E1048" s="552"/>
      <c r="F1048" s="552"/>
      <c r="G1048" s="552"/>
      <c r="H1048" s="552"/>
      <c r="I1048" s="552"/>
      <c r="J1048" s="552"/>
      <c r="K1048" s="553"/>
      <c r="L1048" s="554"/>
      <c r="M1048" s="554"/>
      <c r="N1048" s="554"/>
      <c r="O1048" s="555"/>
      <c r="P1048" s="555"/>
    </row>
    <row r="1049" spans="1:16" ht="21.75" customHeight="1" x14ac:dyDescent="0.25">
      <c r="A1049" s="551"/>
      <c r="B1049" s="551"/>
      <c r="C1049" s="551"/>
      <c r="D1049" s="551"/>
      <c r="E1049" s="552"/>
      <c r="F1049" s="552"/>
      <c r="G1049" s="552"/>
      <c r="H1049" s="552"/>
      <c r="I1049" s="552"/>
      <c r="J1049" s="552"/>
      <c r="K1049" s="553"/>
      <c r="L1049" s="554"/>
      <c r="M1049" s="554"/>
      <c r="N1049" s="554"/>
      <c r="O1049" s="555"/>
      <c r="P1049" s="555"/>
    </row>
    <row r="1050" spans="1:16" ht="21.75" customHeight="1" x14ac:dyDescent="0.25">
      <c r="A1050" s="551"/>
      <c r="B1050" s="551"/>
      <c r="C1050" s="551"/>
      <c r="D1050" s="551"/>
      <c r="E1050" s="552"/>
      <c r="F1050" s="552"/>
      <c r="G1050" s="552"/>
      <c r="H1050" s="552"/>
      <c r="I1050" s="552"/>
      <c r="J1050" s="552"/>
      <c r="K1050" s="553"/>
      <c r="L1050" s="554"/>
      <c r="M1050" s="554"/>
      <c r="N1050" s="554"/>
      <c r="O1050" s="555"/>
      <c r="P1050" s="555"/>
    </row>
    <row r="1051" spans="1:16" ht="21.75" customHeight="1" x14ac:dyDescent="0.25">
      <c r="A1051" s="551"/>
      <c r="B1051" s="551"/>
      <c r="C1051" s="551"/>
      <c r="D1051" s="551"/>
      <c r="E1051" s="552"/>
      <c r="F1051" s="552"/>
      <c r="G1051" s="552"/>
      <c r="H1051" s="552"/>
      <c r="I1051" s="552"/>
      <c r="J1051" s="552"/>
      <c r="K1051" s="553"/>
      <c r="L1051" s="554"/>
      <c r="M1051" s="554"/>
      <c r="N1051" s="554"/>
      <c r="O1051" s="555"/>
      <c r="P1051" s="555"/>
    </row>
    <row r="1052" spans="1:16" ht="21.75" customHeight="1" x14ac:dyDescent="0.25">
      <c r="A1052" s="551"/>
      <c r="B1052" s="551"/>
      <c r="C1052" s="551"/>
      <c r="D1052" s="551"/>
      <c r="E1052" s="552"/>
      <c r="F1052" s="552"/>
      <c r="G1052" s="552"/>
      <c r="H1052" s="552"/>
      <c r="I1052" s="552"/>
      <c r="J1052" s="552"/>
      <c r="K1052" s="553"/>
      <c r="L1052" s="554"/>
      <c r="M1052" s="554"/>
      <c r="N1052" s="554"/>
      <c r="O1052" s="555"/>
      <c r="P1052" s="555"/>
    </row>
    <row r="1053" spans="1:16" ht="21.75" customHeight="1" x14ac:dyDescent="0.25">
      <c r="A1053" s="551"/>
      <c r="B1053" s="551"/>
      <c r="C1053" s="551"/>
      <c r="D1053" s="551"/>
      <c r="E1053" s="552"/>
      <c r="F1053" s="552"/>
      <c r="G1053" s="552"/>
      <c r="H1053" s="552"/>
      <c r="I1053" s="552"/>
      <c r="J1053" s="552"/>
      <c r="K1053" s="553"/>
      <c r="L1053" s="554"/>
      <c r="M1053" s="554"/>
      <c r="N1053" s="554"/>
      <c r="O1053" s="555"/>
      <c r="P1053" s="555"/>
    </row>
    <row r="1054" spans="1:16" ht="21.75" customHeight="1" x14ac:dyDescent="0.25">
      <c r="A1054" s="551"/>
      <c r="B1054" s="551"/>
      <c r="C1054" s="551"/>
      <c r="D1054" s="551"/>
      <c r="E1054" s="552"/>
      <c r="F1054" s="552"/>
      <c r="G1054" s="552"/>
      <c r="H1054" s="552"/>
      <c r="I1054" s="552"/>
      <c r="J1054" s="552"/>
      <c r="K1054" s="553"/>
      <c r="L1054" s="554"/>
      <c r="M1054" s="554"/>
      <c r="N1054" s="554"/>
      <c r="O1054" s="555"/>
      <c r="P1054" s="555"/>
    </row>
    <row r="1055" spans="1:16" ht="21.75" customHeight="1" x14ac:dyDescent="0.25">
      <c r="A1055" s="551"/>
      <c r="B1055" s="551"/>
      <c r="C1055" s="551"/>
      <c r="D1055" s="551"/>
      <c r="E1055" s="552"/>
      <c r="F1055" s="552"/>
      <c r="G1055" s="552"/>
      <c r="H1055" s="552"/>
      <c r="I1055" s="552"/>
      <c r="J1055" s="552"/>
      <c r="K1055" s="553"/>
      <c r="L1055" s="554"/>
      <c r="M1055" s="554"/>
      <c r="N1055" s="554"/>
      <c r="O1055" s="555"/>
      <c r="P1055" s="555"/>
    </row>
    <row r="1056" spans="1:16" ht="21.75" customHeight="1" x14ac:dyDescent="0.25">
      <c r="A1056" s="551"/>
      <c r="B1056" s="551"/>
      <c r="C1056" s="551"/>
      <c r="D1056" s="551"/>
      <c r="E1056" s="552"/>
      <c r="F1056" s="552"/>
      <c r="G1056" s="552"/>
      <c r="H1056" s="552"/>
      <c r="I1056" s="552"/>
      <c r="J1056" s="552"/>
      <c r="K1056" s="553"/>
      <c r="L1056" s="554"/>
      <c r="M1056" s="554"/>
      <c r="N1056" s="554"/>
      <c r="O1056" s="555"/>
      <c r="P1056" s="555"/>
    </row>
    <row r="1057" spans="1:16" ht="21.75" customHeight="1" x14ac:dyDescent="0.25">
      <c r="A1057" s="551"/>
      <c r="B1057" s="551"/>
      <c r="C1057" s="551"/>
      <c r="D1057" s="551"/>
      <c r="E1057" s="552"/>
      <c r="F1057" s="552"/>
      <c r="G1057" s="552"/>
      <c r="H1057" s="552"/>
      <c r="I1057" s="552"/>
      <c r="J1057" s="552"/>
      <c r="K1057" s="553"/>
      <c r="L1057" s="554"/>
      <c r="M1057" s="554"/>
      <c r="N1057" s="554"/>
      <c r="O1057" s="555"/>
      <c r="P1057" s="555"/>
    </row>
    <row r="1058" spans="1:16" ht="21.75" customHeight="1" x14ac:dyDescent="0.25">
      <c r="A1058" s="551"/>
      <c r="B1058" s="551"/>
      <c r="C1058" s="551"/>
      <c r="D1058" s="551"/>
      <c r="E1058" s="552"/>
      <c r="F1058" s="552"/>
      <c r="G1058" s="552"/>
      <c r="H1058" s="552"/>
      <c r="I1058" s="552"/>
      <c r="J1058" s="552"/>
      <c r="K1058" s="553"/>
      <c r="L1058" s="554"/>
      <c r="M1058" s="554"/>
      <c r="N1058" s="554"/>
      <c r="O1058" s="555"/>
      <c r="P1058" s="555"/>
    </row>
    <row r="1059" spans="1:16" ht="21.75" customHeight="1" x14ac:dyDescent="0.25">
      <c r="A1059" s="551"/>
      <c r="B1059" s="551"/>
      <c r="C1059" s="551"/>
      <c r="D1059" s="551"/>
      <c r="E1059" s="552"/>
      <c r="F1059" s="552"/>
      <c r="G1059" s="552"/>
      <c r="H1059" s="552"/>
      <c r="I1059" s="552"/>
      <c r="J1059" s="552"/>
      <c r="K1059" s="553"/>
      <c r="L1059" s="554"/>
      <c r="M1059" s="554"/>
      <c r="N1059" s="554"/>
      <c r="O1059" s="555"/>
      <c r="P1059" s="555"/>
    </row>
    <row r="1060" spans="1:16" ht="21.75" customHeight="1" x14ac:dyDescent="0.25">
      <c r="A1060" s="551"/>
      <c r="B1060" s="551"/>
      <c r="C1060" s="551"/>
      <c r="D1060" s="551"/>
      <c r="E1060" s="552"/>
      <c r="F1060" s="552"/>
      <c r="G1060" s="552"/>
      <c r="H1060" s="552"/>
      <c r="I1060" s="552"/>
      <c r="J1060" s="552"/>
      <c r="K1060" s="553"/>
      <c r="L1060" s="554"/>
      <c r="M1060" s="554"/>
      <c r="N1060" s="554"/>
      <c r="O1060" s="555"/>
      <c r="P1060" s="555"/>
    </row>
    <row r="1061" spans="1:16" ht="21.75" customHeight="1" x14ac:dyDescent="0.25">
      <c r="A1061" s="551"/>
      <c r="B1061" s="551"/>
      <c r="C1061" s="551"/>
      <c r="D1061" s="551"/>
      <c r="E1061" s="552"/>
      <c r="F1061" s="552"/>
      <c r="G1061" s="552"/>
      <c r="H1061" s="552"/>
      <c r="I1061" s="552"/>
      <c r="J1061" s="552"/>
      <c r="K1061" s="553"/>
      <c r="L1061" s="554"/>
      <c r="M1061" s="554"/>
      <c r="N1061" s="554"/>
      <c r="O1061" s="555"/>
      <c r="P1061" s="555"/>
    </row>
    <row r="1062" spans="1:16" ht="21.75" customHeight="1" x14ac:dyDescent="0.25">
      <c r="A1062" s="551"/>
      <c r="B1062" s="551"/>
      <c r="C1062" s="551"/>
      <c r="D1062" s="551"/>
      <c r="E1062" s="552"/>
      <c r="F1062" s="552"/>
      <c r="G1062" s="552"/>
      <c r="H1062" s="552"/>
      <c r="I1062" s="552"/>
      <c r="J1062" s="552"/>
      <c r="K1062" s="553"/>
      <c r="L1062" s="554"/>
      <c r="M1062" s="554"/>
      <c r="N1062" s="554"/>
      <c r="O1062" s="555"/>
      <c r="P1062" s="555"/>
    </row>
    <row r="1063" spans="1:16" ht="21.75" customHeight="1" x14ac:dyDescent="0.25">
      <c r="A1063" s="551"/>
      <c r="B1063" s="551"/>
      <c r="C1063" s="551"/>
      <c r="D1063" s="551"/>
      <c r="E1063" s="552"/>
      <c r="F1063" s="552"/>
      <c r="G1063" s="552"/>
      <c r="H1063" s="552"/>
      <c r="I1063" s="552"/>
      <c r="J1063" s="552"/>
      <c r="K1063" s="553"/>
      <c r="L1063" s="554"/>
      <c r="M1063" s="554"/>
      <c r="N1063" s="554"/>
      <c r="O1063" s="555"/>
      <c r="P1063" s="555"/>
    </row>
    <row r="1064" spans="1:16" ht="21.75" customHeight="1" x14ac:dyDescent="0.25">
      <c r="A1064" s="551"/>
      <c r="B1064" s="551"/>
      <c r="C1064" s="551"/>
      <c r="D1064" s="551"/>
      <c r="E1064" s="552"/>
      <c r="F1064" s="552"/>
      <c r="G1064" s="552"/>
      <c r="H1064" s="552"/>
      <c r="I1064" s="552"/>
      <c r="J1064" s="552"/>
      <c r="K1064" s="553"/>
      <c r="L1064" s="554"/>
      <c r="M1064" s="554"/>
      <c r="N1064" s="554"/>
      <c r="O1064" s="555"/>
      <c r="P1064" s="555"/>
    </row>
    <row r="1065" spans="1:16" ht="21.75" customHeight="1" x14ac:dyDescent="0.25">
      <c r="A1065" s="551"/>
      <c r="B1065" s="551"/>
      <c r="C1065" s="551"/>
      <c r="D1065" s="551"/>
      <c r="E1065" s="552"/>
      <c r="F1065" s="552"/>
      <c r="G1065" s="552"/>
      <c r="H1065" s="552"/>
      <c r="I1065" s="552"/>
      <c r="J1065" s="552"/>
      <c r="K1065" s="553"/>
      <c r="L1065" s="554"/>
      <c r="M1065" s="554"/>
      <c r="N1065" s="554"/>
      <c r="O1065" s="555"/>
      <c r="P1065" s="555"/>
    </row>
    <row r="1066" spans="1:16" ht="21.75" customHeight="1" x14ac:dyDescent="0.25">
      <c r="A1066" s="551"/>
      <c r="B1066" s="551"/>
      <c r="C1066" s="551"/>
      <c r="D1066" s="551"/>
      <c r="E1066" s="552"/>
      <c r="F1066" s="552"/>
      <c r="G1066" s="552"/>
      <c r="H1066" s="552"/>
      <c r="I1066" s="552"/>
      <c r="J1066" s="552"/>
      <c r="K1066" s="553"/>
      <c r="L1066" s="554"/>
      <c r="M1066" s="554"/>
      <c r="N1066" s="554"/>
      <c r="O1066" s="555"/>
      <c r="P1066" s="555"/>
    </row>
    <row r="1067" spans="1:16" ht="21.75" customHeight="1" x14ac:dyDescent="0.25">
      <c r="A1067" s="551"/>
      <c r="B1067" s="551"/>
      <c r="C1067" s="551"/>
      <c r="D1067" s="551"/>
      <c r="E1067" s="552"/>
      <c r="F1067" s="552"/>
      <c r="G1067" s="552"/>
      <c r="H1067" s="552"/>
      <c r="I1067" s="552"/>
      <c r="J1067" s="552"/>
      <c r="K1067" s="553"/>
      <c r="L1067" s="554"/>
      <c r="M1067" s="554"/>
      <c r="N1067" s="554"/>
      <c r="O1067" s="555"/>
      <c r="P1067" s="555"/>
    </row>
    <row r="1068" spans="1:16" ht="21.75" customHeight="1" x14ac:dyDescent="0.25">
      <c r="A1068" s="551"/>
      <c r="B1068" s="551"/>
      <c r="C1068" s="551"/>
      <c r="D1068" s="551"/>
      <c r="E1068" s="552"/>
      <c r="F1068" s="552"/>
      <c r="G1068" s="552"/>
      <c r="H1068" s="552"/>
      <c r="I1068" s="552"/>
      <c r="J1068" s="552"/>
      <c r="K1068" s="553"/>
      <c r="L1068" s="554"/>
      <c r="M1068" s="554"/>
      <c r="N1068" s="554"/>
      <c r="O1068" s="555"/>
      <c r="P1068" s="555"/>
    </row>
    <row r="1069" spans="1:16" ht="21.75" customHeight="1" x14ac:dyDescent="0.25">
      <c r="A1069" s="551"/>
      <c r="B1069" s="551"/>
      <c r="C1069" s="551"/>
      <c r="D1069" s="551"/>
      <c r="E1069" s="552"/>
      <c r="F1069" s="552"/>
      <c r="G1069" s="552"/>
      <c r="H1069" s="552"/>
      <c r="I1069" s="552"/>
      <c r="J1069" s="552"/>
      <c r="K1069" s="553"/>
      <c r="L1069" s="554"/>
      <c r="M1069" s="554"/>
      <c r="N1069" s="554"/>
      <c r="O1069" s="555"/>
      <c r="P1069" s="555"/>
    </row>
    <row r="1070" spans="1:16" ht="21.75" customHeight="1" x14ac:dyDescent="0.25">
      <c r="A1070" s="551"/>
      <c r="B1070" s="551"/>
      <c r="C1070" s="551"/>
      <c r="D1070" s="551"/>
      <c r="E1070" s="552"/>
      <c r="F1070" s="552"/>
      <c r="G1070" s="552"/>
      <c r="H1070" s="552"/>
      <c r="I1070" s="552"/>
      <c r="J1070" s="552"/>
      <c r="K1070" s="553"/>
      <c r="L1070" s="554"/>
      <c r="M1070" s="554"/>
      <c r="N1070" s="554"/>
      <c r="O1070" s="555"/>
      <c r="P1070" s="555"/>
    </row>
    <row r="1071" spans="1:16" ht="21.75" customHeight="1" x14ac:dyDescent="0.25">
      <c r="A1071" s="551"/>
      <c r="B1071" s="551"/>
      <c r="C1071" s="551"/>
      <c r="D1071" s="551"/>
      <c r="E1071" s="552"/>
      <c r="F1071" s="552"/>
      <c r="G1071" s="552"/>
      <c r="H1071" s="552"/>
      <c r="I1071" s="552"/>
      <c r="J1071" s="552"/>
      <c r="K1071" s="553"/>
      <c r="L1071" s="554"/>
      <c r="M1071" s="554"/>
      <c r="N1071" s="554"/>
      <c r="O1071" s="555"/>
      <c r="P1071" s="555"/>
    </row>
    <row r="1072" spans="1:16" ht="21.75" customHeight="1" x14ac:dyDescent="0.25">
      <c r="A1072" s="551"/>
      <c r="B1072" s="551"/>
      <c r="C1072" s="551"/>
      <c r="D1072" s="551"/>
      <c r="E1072" s="552"/>
      <c r="F1072" s="552"/>
      <c r="G1072" s="552"/>
      <c r="H1072" s="552"/>
      <c r="I1072" s="552"/>
      <c r="J1072" s="552"/>
      <c r="K1072" s="553"/>
      <c r="L1072" s="554"/>
      <c r="M1072" s="554"/>
      <c r="N1072" s="554"/>
      <c r="O1072" s="555"/>
      <c r="P1072" s="555"/>
    </row>
    <row r="1073" spans="1:16" ht="21.75" customHeight="1" x14ac:dyDescent="0.25">
      <c r="A1073" s="551"/>
      <c r="B1073" s="551"/>
      <c r="C1073" s="551"/>
      <c r="D1073" s="551"/>
      <c r="E1073" s="552"/>
      <c r="F1073" s="552"/>
      <c r="G1073" s="552"/>
      <c r="H1073" s="552"/>
      <c r="I1073" s="552"/>
      <c r="J1073" s="552"/>
      <c r="K1073" s="553"/>
      <c r="L1073" s="554"/>
      <c r="M1073" s="554"/>
      <c r="N1073" s="554"/>
      <c r="O1073" s="555"/>
      <c r="P1073" s="555"/>
    </row>
    <row r="1074" spans="1:16" ht="21.75" customHeight="1" x14ac:dyDescent="0.25">
      <c r="A1074" s="551"/>
      <c r="B1074" s="551"/>
      <c r="C1074" s="551"/>
      <c r="D1074" s="551"/>
      <c r="E1074" s="552"/>
      <c r="F1074" s="552"/>
      <c r="G1074" s="552"/>
      <c r="H1074" s="552"/>
      <c r="I1074" s="552"/>
      <c r="J1074" s="552"/>
      <c r="K1074" s="553"/>
      <c r="L1074" s="554"/>
      <c r="M1074" s="554"/>
      <c r="N1074" s="554"/>
      <c r="O1074" s="555"/>
      <c r="P1074" s="555"/>
    </row>
    <row r="1075" spans="1:16" ht="21.75" customHeight="1" x14ac:dyDescent="0.25">
      <c r="A1075" s="551"/>
      <c r="B1075" s="551"/>
      <c r="C1075" s="551"/>
      <c r="D1075" s="551"/>
      <c r="E1075" s="552"/>
      <c r="F1075" s="552"/>
      <c r="G1075" s="552"/>
      <c r="H1075" s="552"/>
      <c r="I1075" s="552"/>
      <c r="J1075" s="552"/>
      <c r="K1075" s="553"/>
      <c r="L1075" s="554"/>
      <c r="M1075" s="554"/>
      <c r="N1075" s="554"/>
      <c r="O1075" s="555"/>
      <c r="P1075" s="555"/>
    </row>
    <row r="1076" spans="1:16" ht="21.75" customHeight="1" x14ac:dyDescent="0.25">
      <c r="A1076" s="551"/>
      <c r="B1076" s="551"/>
      <c r="C1076" s="551"/>
      <c r="D1076" s="551"/>
      <c r="E1076" s="552"/>
      <c r="F1076" s="552"/>
      <c r="G1076" s="552"/>
      <c r="H1076" s="552"/>
      <c r="I1076" s="552"/>
      <c r="J1076" s="552"/>
      <c r="K1076" s="553"/>
      <c r="L1076" s="554"/>
      <c r="M1076" s="554"/>
      <c r="N1076" s="554"/>
      <c r="O1076" s="555"/>
      <c r="P1076" s="555"/>
    </row>
    <row r="1077" spans="1:16" ht="21.75" customHeight="1" x14ac:dyDescent="0.25">
      <c r="A1077" s="551"/>
      <c r="B1077" s="551"/>
      <c r="C1077" s="551"/>
      <c r="D1077" s="551"/>
      <c r="E1077" s="552"/>
      <c r="F1077" s="552"/>
      <c r="G1077" s="552"/>
      <c r="H1077" s="552"/>
      <c r="I1077" s="552"/>
      <c r="J1077" s="552"/>
      <c r="K1077" s="553"/>
      <c r="L1077" s="554"/>
      <c r="M1077" s="554"/>
      <c r="N1077" s="554"/>
      <c r="O1077" s="555"/>
      <c r="P1077" s="555"/>
    </row>
    <row r="1078" spans="1:16" ht="21.75" customHeight="1" x14ac:dyDescent="0.25">
      <c r="A1078" s="551"/>
      <c r="B1078" s="551"/>
      <c r="C1078" s="551"/>
      <c r="D1078" s="551"/>
      <c r="E1078" s="552"/>
      <c r="F1078" s="552"/>
      <c r="G1078" s="552"/>
      <c r="H1078" s="552"/>
      <c r="I1078" s="552"/>
      <c r="J1078" s="552"/>
      <c r="K1078" s="553"/>
      <c r="L1078" s="554"/>
      <c r="M1078" s="554"/>
      <c r="N1078" s="554"/>
      <c r="O1078" s="555"/>
      <c r="P1078" s="555"/>
    </row>
    <row r="1079" spans="1:16" ht="21.75" customHeight="1" x14ac:dyDescent="0.25">
      <c r="A1079" s="551"/>
      <c r="B1079" s="551"/>
      <c r="C1079" s="551"/>
      <c r="D1079" s="551"/>
      <c r="E1079" s="552"/>
      <c r="F1079" s="552"/>
      <c r="G1079" s="552"/>
      <c r="H1079" s="552"/>
      <c r="I1079" s="552"/>
      <c r="J1079" s="552"/>
      <c r="K1079" s="553"/>
      <c r="L1079" s="554"/>
      <c r="M1079" s="554"/>
      <c r="N1079" s="554"/>
      <c r="O1079" s="555"/>
      <c r="P1079" s="555"/>
    </row>
    <row r="1080" spans="1:16" ht="21.75" customHeight="1" x14ac:dyDescent="0.25">
      <c r="A1080" s="551"/>
      <c r="B1080" s="551"/>
      <c r="C1080" s="551"/>
      <c r="D1080" s="551"/>
      <c r="E1080" s="552"/>
      <c r="F1080" s="552"/>
      <c r="G1080" s="552"/>
      <c r="H1080" s="552"/>
      <c r="I1080" s="552"/>
      <c r="J1080" s="552"/>
      <c r="K1080" s="553"/>
      <c r="L1080" s="554"/>
      <c r="M1080" s="554"/>
      <c r="N1080" s="554"/>
      <c r="O1080" s="555"/>
      <c r="P1080" s="555"/>
    </row>
    <row r="1081" spans="1:16" ht="21.75" customHeight="1" x14ac:dyDescent="0.25">
      <c r="A1081" s="551"/>
      <c r="B1081" s="551"/>
      <c r="C1081" s="551"/>
      <c r="D1081" s="551"/>
      <c r="E1081" s="552"/>
      <c r="F1081" s="552"/>
      <c r="G1081" s="552"/>
      <c r="H1081" s="552"/>
      <c r="I1081" s="552"/>
      <c r="J1081" s="552"/>
      <c r="K1081" s="553"/>
      <c r="L1081" s="554"/>
      <c r="M1081" s="554"/>
      <c r="N1081" s="554"/>
      <c r="O1081" s="555"/>
      <c r="P1081" s="555"/>
    </row>
    <row r="1082" spans="1:16" ht="21.75" customHeight="1" x14ac:dyDescent="0.25">
      <c r="A1082" s="551"/>
      <c r="B1082" s="551"/>
      <c r="C1082" s="551"/>
      <c r="D1082" s="551"/>
      <c r="E1082" s="552"/>
      <c r="F1082" s="552"/>
      <c r="G1082" s="552"/>
      <c r="H1082" s="552"/>
      <c r="I1082" s="552"/>
      <c r="J1082" s="552"/>
      <c r="K1082" s="553"/>
      <c r="L1082" s="554"/>
      <c r="M1082" s="554"/>
      <c r="N1082" s="554"/>
      <c r="O1082" s="555"/>
      <c r="P1082" s="555"/>
    </row>
    <row r="1083" spans="1:16" ht="21.75" customHeight="1" x14ac:dyDescent="0.25">
      <c r="A1083" s="551"/>
      <c r="B1083" s="551"/>
      <c r="C1083" s="551"/>
      <c r="D1083" s="551"/>
      <c r="E1083" s="552"/>
      <c r="F1083" s="552"/>
      <c r="G1083" s="552"/>
      <c r="H1083" s="552"/>
      <c r="I1083" s="552"/>
      <c r="J1083" s="552"/>
      <c r="K1083" s="553"/>
      <c r="L1083" s="554"/>
      <c r="M1083" s="554"/>
      <c r="N1083" s="554"/>
      <c r="O1083" s="555"/>
      <c r="P1083" s="555"/>
    </row>
    <row r="1084" spans="1:16" ht="21.75" customHeight="1" x14ac:dyDescent="0.25">
      <c r="A1084" s="551"/>
      <c r="B1084" s="551"/>
      <c r="C1084" s="551"/>
      <c r="D1084" s="551"/>
      <c r="E1084" s="552"/>
      <c r="F1084" s="552"/>
      <c r="G1084" s="552"/>
      <c r="H1084" s="552"/>
      <c r="I1084" s="552"/>
      <c r="J1084" s="552"/>
      <c r="K1084" s="553"/>
      <c r="L1084" s="554"/>
      <c r="M1084" s="554"/>
      <c r="N1084" s="554"/>
      <c r="O1084" s="555"/>
      <c r="P1084" s="555"/>
    </row>
    <row r="1085" spans="1:16" ht="21.75" customHeight="1" x14ac:dyDescent="0.25">
      <c r="A1085" s="551"/>
      <c r="B1085" s="551"/>
      <c r="C1085" s="551"/>
      <c r="D1085" s="551"/>
      <c r="E1085" s="552"/>
      <c r="F1085" s="552"/>
      <c r="G1085" s="552"/>
      <c r="H1085" s="552"/>
      <c r="I1085" s="552"/>
      <c r="J1085" s="552"/>
      <c r="K1085" s="553"/>
      <c r="L1085" s="554"/>
      <c r="M1085" s="554"/>
      <c r="N1085" s="554"/>
      <c r="O1085" s="555"/>
      <c r="P1085" s="555"/>
    </row>
    <row r="1086" spans="1:16" ht="21.75" customHeight="1" x14ac:dyDescent="0.25">
      <c r="A1086" s="551"/>
      <c r="B1086" s="551"/>
      <c r="C1086" s="551"/>
      <c r="D1086" s="551"/>
      <c r="E1086" s="552"/>
      <c r="F1086" s="552"/>
      <c r="G1086" s="552"/>
      <c r="H1086" s="552"/>
      <c r="I1086" s="552"/>
      <c r="J1086" s="552"/>
      <c r="K1086" s="553"/>
      <c r="L1086" s="554"/>
      <c r="M1086" s="554"/>
      <c r="N1086" s="554"/>
      <c r="O1086" s="555"/>
      <c r="P1086" s="555"/>
    </row>
    <row r="1087" spans="1:16" ht="21.75" customHeight="1" x14ac:dyDescent="0.25">
      <c r="A1087" s="551"/>
      <c r="B1087" s="551"/>
      <c r="C1087" s="551"/>
      <c r="D1087" s="551"/>
      <c r="E1087" s="552"/>
      <c r="F1087" s="552"/>
      <c r="G1087" s="552"/>
      <c r="H1087" s="552"/>
      <c r="I1087" s="552"/>
      <c r="J1087" s="552"/>
      <c r="K1087" s="553"/>
      <c r="L1087" s="554"/>
      <c r="M1087" s="554"/>
      <c r="N1087" s="554"/>
      <c r="O1087" s="555"/>
      <c r="P1087" s="555"/>
    </row>
    <row r="1088" spans="1:16" ht="21.75" customHeight="1" x14ac:dyDescent="0.25">
      <c r="A1088" s="551"/>
      <c r="B1088" s="551"/>
      <c r="C1088" s="551"/>
      <c r="D1088" s="551"/>
      <c r="E1088" s="552"/>
      <c r="F1088" s="552"/>
      <c r="G1088" s="552"/>
      <c r="H1088" s="552"/>
      <c r="I1088" s="552"/>
      <c r="J1088" s="552"/>
      <c r="K1088" s="553"/>
      <c r="L1088" s="554"/>
      <c r="M1088" s="554"/>
      <c r="N1088" s="554"/>
      <c r="O1088" s="555"/>
      <c r="P1088" s="555"/>
    </row>
    <row r="1089" spans="1:16" ht="21.75" customHeight="1" x14ac:dyDescent="0.25">
      <c r="A1089" s="551"/>
      <c r="B1089" s="551"/>
      <c r="C1089" s="551"/>
      <c r="D1089" s="551"/>
      <c r="E1089" s="552"/>
      <c r="F1089" s="552"/>
      <c r="G1089" s="552"/>
      <c r="H1089" s="552"/>
      <c r="I1089" s="552"/>
      <c r="J1089" s="552"/>
      <c r="K1089" s="553"/>
      <c r="L1089" s="554"/>
      <c r="M1089" s="554"/>
      <c r="N1089" s="554"/>
      <c r="O1089" s="555"/>
      <c r="P1089" s="555"/>
    </row>
    <row r="1090" spans="1:16" ht="21.75" customHeight="1" x14ac:dyDescent="0.25">
      <c r="A1090" s="551"/>
      <c r="B1090" s="551"/>
      <c r="C1090" s="551"/>
      <c r="D1090" s="551"/>
      <c r="E1090" s="552"/>
      <c r="F1090" s="552"/>
      <c r="G1090" s="552"/>
      <c r="H1090" s="552"/>
      <c r="I1090" s="552"/>
      <c r="J1090" s="552"/>
      <c r="K1090" s="553"/>
      <c r="L1090" s="554"/>
      <c r="M1090" s="554"/>
      <c r="N1090" s="554"/>
      <c r="O1090" s="555"/>
      <c r="P1090" s="555"/>
    </row>
    <row r="1091" spans="1:16" ht="21.75" customHeight="1" x14ac:dyDescent="0.25">
      <c r="A1091" s="551"/>
      <c r="B1091" s="551"/>
      <c r="C1091" s="551"/>
      <c r="D1091" s="551"/>
      <c r="E1091" s="552"/>
      <c r="F1091" s="552"/>
      <c r="G1091" s="552"/>
      <c r="H1091" s="552"/>
      <c r="I1091" s="552"/>
      <c r="J1091" s="552"/>
      <c r="K1091" s="553"/>
      <c r="L1091" s="554"/>
      <c r="M1091" s="554"/>
      <c r="N1091" s="554"/>
      <c r="O1091" s="555"/>
      <c r="P1091" s="555"/>
    </row>
    <row r="1092" spans="1:16" ht="21.75" customHeight="1" x14ac:dyDescent="0.25">
      <c r="A1092" s="551"/>
      <c r="B1092" s="551"/>
      <c r="C1092" s="551"/>
      <c r="D1092" s="551"/>
      <c r="E1092" s="552"/>
      <c r="F1092" s="552"/>
      <c r="G1092" s="552"/>
      <c r="H1092" s="552"/>
      <c r="I1092" s="552"/>
      <c r="J1092" s="552"/>
      <c r="K1092" s="553"/>
      <c r="L1092" s="554"/>
      <c r="M1092" s="554"/>
      <c r="N1092" s="554"/>
      <c r="O1092" s="555"/>
      <c r="P1092" s="555"/>
    </row>
    <row r="1093" spans="1:16" ht="21.75" customHeight="1" x14ac:dyDescent="0.25">
      <c r="A1093" s="551"/>
      <c r="B1093" s="551"/>
      <c r="C1093" s="551"/>
      <c r="D1093" s="551"/>
      <c r="E1093" s="552"/>
      <c r="F1093" s="552"/>
      <c r="G1093" s="552"/>
      <c r="H1093" s="552"/>
      <c r="I1093" s="552"/>
      <c r="J1093" s="552"/>
      <c r="K1093" s="553"/>
      <c r="L1093" s="554"/>
      <c r="M1093" s="554"/>
      <c r="N1093" s="554"/>
      <c r="O1093" s="555"/>
      <c r="P1093" s="555"/>
    </row>
    <row r="1094" spans="1:16" ht="21.75" customHeight="1" x14ac:dyDescent="0.25">
      <c r="A1094" s="551"/>
      <c r="B1094" s="551"/>
      <c r="C1094" s="551"/>
      <c r="D1094" s="551"/>
      <c r="E1094" s="552"/>
      <c r="F1094" s="552"/>
      <c r="G1094" s="552"/>
      <c r="H1094" s="552"/>
      <c r="I1094" s="552"/>
      <c r="J1094" s="552"/>
      <c r="K1094" s="553"/>
      <c r="L1094" s="554"/>
      <c r="M1094" s="554"/>
      <c r="N1094" s="554"/>
      <c r="O1094" s="555"/>
      <c r="P1094" s="555"/>
    </row>
    <row r="1095" spans="1:16" ht="21.75" customHeight="1" x14ac:dyDescent="0.25">
      <c r="A1095" s="551"/>
      <c r="B1095" s="551"/>
      <c r="C1095" s="551"/>
      <c r="D1095" s="551"/>
      <c r="E1095" s="552"/>
      <c r="F1095" s="552"/>
      <c r="G1095" s="552"/>
      <c r="H1095" s="552"/>
      <c r="I1095" s="552"/>
      <c r="J1095" s="552"/>
      <c r="K1095" s="553"/>
      <c r="L1095" s="554"/>
      <c r="M1095" s="554"/>
      <c r="N1095" s="554"/>
      <c r="O1095" s="555"/>
      <c r="P1095" s="555"/>
    </row>
    <row r="1096" spans="1:16" ht="21.75" customHeight="1" x14ac:dyDescent="0.25">
      <c r="A1096" s="551"/>
      <c r="B1096" s="551"/>
      <c r="C1096" s="551"/>
      <c r="D1096" s="551"/>
      <c r="E1096" s="552"/>
      <c r="F1096" s="552"/>
      <c r="G1096" s="552"/>
      <c r="H1096" s="552"/>
      <c r="I1096" s="552"/>
      <c r="J1096" s="552"/>
      <c r="K1096" s="553"/>
      <c r="L1096" s="554"/>
      <c r="M1096" s="554"/>
      <c r="N1096" s="554"/>
      <c r="O1096" s="555"/>
      <c r="P1096" s="555"/>
    </row>
    <row r="1097" spans="1:16" ht="21.75" customHeight="1" x14ac:dyDescent="0.25">
      <c r="A1097" s="551"/>
      <c r="B1097" s="551"/>
      <c r="C1097" s="551"/>
      <c r="D1097" s="551"/>
      <c r="E1097" s="552"/>
      <c r="F1097" s="552"/>
      <c r="G1097" s="552"/>
      <c r="H1097" s="552"/>
      <c r="I1097" s="552"/>
      <c r="J1097" s="552"/>
      <c r="K1097" s="553"/>
      <c r="L1097" s="554"/>
      <c r="M1097" s="554"/>
      <c r="N1097" s="554"/>
      <c r="O1097" s="555"/>
      <c r="P1097" s="555"/>
    </row>
    <row r="1098" spans="1:16" ht="21.75" customHeight="1" x14ac:dyDescent="0.25">
      <c r="A1098" s="551"/>
      <c r="B1098" s="551"/>
      <c r="C1098" s="551"/>
      <c r="D1098" s="551"/>
      <c r="E1098" s="552"/>
      <c r="F1098" s="552"/>
      <c r="G1098" s="552"/>
      <c r="H1098" s="552"/>
      <c r="I1098" s="552"/>
      <c r="J1098" s="552"/>
      <c r="K1098" s="553"/>
      <c r="L1098" s="554"/>
      <c r="M1098" s="554"/>
      <c r="N1098" s="554"/>
      <c r="O1098" s="555"/>
      <c r="P1098" s="555"/>
    </row>
    <row r="1099" spans="1:16" ht="21.75" customHeight="1" x14ac:dyDescent="0.25">
      <c r="A1099" s="551"/>
      <c r="B1099" s="551"/>
      <c r="C1099" s="551"/>
      <c r="D1099" s="551"/>
      <c r="E1099" s="552"/>
      <c r="F1099" s="552"/>
      <c r="G1099" s="552"/>
      <c r="H1099" s="552"/>
      <c r="I1099" s="552"/>
      <c r="J1099" s="552"/>
      <c r="K1099" s="553"/>
      <c r="L1099" s="554"/>
      <c r="M1099" s="554"/>
      <c r="N1099" s="554"/>
      <c r="O1099" s="555"/>
      <c r="P1099" s="555"/>
    </row>
    <row r="1100" spans="1:16" ht="21.75" customHeight="1" x14ac:dyDescent="0.25">
      <c r="A1100" s="551"/>
      <c r="B1100" s="551"/>
      <c r="C1100" s="551"/>
      <c r="D1100" s="551"/>
      <c r="E1100" s="552"/>
      <c r="F1100" s="552"/>
      <c r="G1100" s="552"/>
      <c r="H1100" s="552"/>
      <c r="I1100" s="552"/>
      <c r="J1100" s="552"/>
      <c r="K1100" s="553"/>
      <c r="L1100" s="554"/>
      <c r="M1100" s="554"/>
      <c r="N1100" s="554"/>
      <c r="O1100" s="555"/>
      <c r="P1100" s="555"/>
    </row>
    <row r="1101" spans="1:16" ht="21.75" customHeight="1" x14ac:dyDescent="0.25">
      <c r="A1101" s="551"/>
      <c r="B1101" s="551"/>
      <c r="C1101" s="551"/>
      <c r="D1101" s="551"/>
      <c r="E1101" s="552"/>
      <c r="F1101" s="552"/>
      <c r="G1101" s="552"/>
      <c r="H1101" s="552"/>
      <c r="I1101" s="552"/>
      <c r="J1101" s="552"/>
      <c r="K1101" s="553"/>
      <c r="L1101" s="554"/>
      <c r="M1101" s="554"/>
      <c r="N1101" s="554"/>
      <c r="O1101" s="555"/>
      <c r="P1101" s="555"/>
    </row>
    <row r="1102" spans="1:16" ht="21.75" customHeight="1" x14ac:dyDescent="0.25">
      <c r="A1102" s="551"/>
      <c r="B1102" s="551"/>
      <c r="C1102" s="551"/>
      <c r="D1102" s="551"/>
      <c r="E1102" s="552"/>
      <c r="F1102" s="552"/>
      <c r="G1102" s="552"/>
      <c r="H1102" s="552"/>
      <c r="I1102" s="552"/>
      <c r="J1102" s="552"/>
      <c r="K1102" s="553"/>
      <c r="L1102" s="554"/>
      <c r="M1102" s="554"/>
      <c r="N1102" s="554"/>
      <c r="O1102" s="555"/>
      <c r="P1102" s="555"/>
    </row>
    <row r="1103" spans="1:16" ht="21.75" customHeight="1" x14ac:dyDescent="0.25">
      <c r="A1103" s="551"/>
      <c r="B1103" s="551"/>
      <c r="C1103" s="551"/>
      <c r="D1103" s="551"/>
      <c r="E1103" s="552"/>
      <c r="F1103" s="552"/>
      <c r="G1103" s="552"/>
      <c r="H1103" s="552"/>
      <c r="I1103" s="552"/>
      <c r="J1103" s="552"/>
      <c r="K1103" s="553"/>
      <c r="L1103" s="554"/>
      <c r="M1103" s="554"/>
      <c r="N1103" s="554"/>
      <c r="O1103" s="555"/>
      <c r="P1103" s="555"/>
    </row>
    <row r="1104" spans="1:16" ht="21.75" customHeight="1" x14ac:dyDescent="0.25">
      <c r="A1104" s="551"/>
      <c r="B1104" s="551"/>
      <c r="C1104" s="551"/>
      <c r="D1104" s="551"/>
      <c r="E1104" s="552"/>
      <c r="F1104" s="552"/>
      <c r="G1104" s="552"/>
      <c r="H1104" s="552"/>
      <c r="I1104" s="552"/>
      <c r="J1104" s="552"/>
      <c r="K1104" s="553"/>
      <c r="L1104" s="554"/>
      <c r="M1104" s="554"/>
      <c r="N1104" s="554"/>
      <c r="O1104" s="555"/>
      <c r="P1104" s="555"/>
    </row>
    <row r="1105" spans="1:16" ht="21.75" customHeight="1" x14ac:dyDescent="0.25">
      <c r="A1105" s="551"/>
      <c r="B1105" s="551"/>
      <c r="C1105" s="551"/>
      <c r="D1105" s="551"/>
      <c r="E1105" s="552"/>
      <c r="F1105" s="552"/>
      <c r="G1105" s="552"/>
      <c r="H1105" s="552"/>
      <c r="I1105" s="552"/>
      <c r="J1105" s="552"/>
      <c r="K1105" s="553"/>
      <c r="L1105" s="554"/>
      <c r="M1105" s="554"/>
      <c r="N1105" s="554"/>
      <c r="O1105" s="555"/>
      <c r="P1105" s="555"/>
    </row>
    <row r="1106" spans="1:16" ht="21.75" customHeight="1" x14ac:dyDescent="0.25">
      <c r="A1106" s="551"/>
      <c r="B1106" s="551"/>
      <c r="C1106" s="551"/>
      <c r="D1106" s="551"/>
      <c r="E1106" s="552"/>
      <c r="F1106" s="552"/>
      <c r="G1106" s="552"/>
      <c r="H1106" s="552"/>
      <c r="I1106" s="552"/>
      <c r="J1106" s="552"/>
      <c r="K1106" s="553"/>
      <c r="L1106" s="554"/>
      <c r="M1106" s="554"/>
      <c r="N1106" s="554"/>
      <c r="O1106" s="555"/>
      <c r="P1106" s="555"/>
    </row>
    <row r="1107" spans="1:16" ht="21.75" customHeight="1" x14ac:dyDescent="0.25">
      <c r="A1107" s="551"/>
      <c r="B1107" s="551"/>
      <c r="C1107" s="551"/>
      <c r="D1107" s="551"/>
      <c r="E1107" s="552"/>
      <c r="F1107" s="552"/>
      <c r="G1107" s="552"/>
      <c r="H1107" s="552"/>
      <c r="I1107" s="552"/>
      <c r="J1107" s="552"/>
      <c r="K1107" s="553"/>
      <c r="L1107" s="554"/>
      <c r="M1107" s="554"/>
      <c r="N1107" s="554"/>
      <c r="O1107" s="555"/>
      <c r="P1107" s="555"/>
    </row>
    <row r="1108" spans="1:16" ht="21.75" customHeight="1" x14ac:dyDescent="0.25">
      <c r="A1108" s="551"/>
      <c r="B1108" s="551"/>
      <c r="C1108" s="551"/>
      <c r="D1108" s="551"/>
      <c r="E1108" s="552"/>
      <c r="F1108" s="552"/>
      <c r="G1108" s="552"/>
      <c r="H1108" s="552"/>
      <c r="I1108" s="552"/>
      <c r="J1108" s="552"/>
      <c r="K1108" s="553"/>
      <c r="L1108" s="554"/>
      <c r="M1108" s="554"/>
      <c r="N1108" s="554"/>
      <c r="O1108" s="555"/>
      <c r="P1108" s="555"/>
    </row>
    <row r="1109" spans="1:16" ht="21.75" customHeight="1" x14ac:dyDescent="0.25">
      <c r="A1109" s="551"/>
      <c r="B1109" s="551"/>
      <c r="C1109" s="551"/>
      <c r="D1109" s="551"/>
      <c r="E1109" s="552"/>
      <c r="F1109" s="552"/>
      <c r="G1109" s="552"/>
      <c r="H1109" s="552"/>
      <c r="I1109" s="552"/>
      <c r="J1109" s="552"/>
      <c r="K1109" s="553"/>
      <c r="L1109" s="554"/>
      <c r="M1109" s="554"/>
      <c r="N1109" s="554"/>
      <c r="O1109" s="555"/>
      <c r="P1109" s="555"/>
    </row>
    <row r="1110" spans="1:16" ht="21.75" customHeight="1" x14ac:dyDescent="0.25">
      <c r="A1110" s="551"/>
      <c r="B1110" s="551"/>
      <c r="C1110" s="551"/>
      <c r="D1110" s="551"/>
      <c r="E1110" s="552"/>
      <c r="F1110" s="552"/>
      <c r="G1110" s="552"/>
      <c r="H1110" s="552"/>
      <c r="I1110" s="552"/>
      <c r="J1110" s="552"/>
      <c r="K1110" s="553"/>
      <c r="L1110" s="554"/>
      <c r="M1110" s="554"/>
      <c r="N1110" s="554"/>
      <c r="O1110" s="555"/>
      <c r="P1110" s="555"/>
    </row>
    <row r="1111" spans="1:16" ht="21.75" customHeight="1" x14ac:dyDescent="0.25">
      <c r="A1111" s="551"/>
      <c r="B1111" s="551"/>
      <c r="C1111" s="551"/>
      <c r="D1111" s="551"/>
      <c r="E1111" s="552"/>
      <c r="F1111" s="552"/>
      <c r="G1111" s="552"/>
      <c r="H1111" s="552"/>
      <c r="I1111" s="552"/>
      <c r="J1111" s="552"/>
      <c r="K1111" s="553"/>
      <c r="L1111" s="554"/>
      <c r="M1111" s="554"/>
      <c r="N1111" s="554"/>
      <c r="O1111" s="555"/>
      <c r="P1111" s="555"/>
    </row>
    <row r="1112" spans="1:16" ht="21.75" customHeight="1" x14ac:dyDescent="0.25">
      <c r="A1112" s="551"/>
      <c r="B1112" s="551"/>
      <c r="C1112" s="551"/>
      <c r="D1112" s="551"/>
      <c r="E1112" s="552"/>
      <c r="F1112" s="552"/>
      <c r="G1112" s="552"/>
      <c r="H1112" s="552"/>
      <c r="I1112" s="552"/>
      <c r="J1112" s="552"/>
      <c r="K1112" s="553"/>
      <c r="L1112" s="554"/>
      <c r="M1112" s="554"/>
      <c r="N1112" s="554"/>
      <c r="O1112" s="555"/>
      <c r="P1112" s="555"/>
    </row>
    <row r="1113" spans="1:16" ht="21.75" customHeight="1" x14ac:dyDescent="0.25">
      <c r="A1113" s="551"/>
      <c r="B1113" s="551"/>
      <c r="C1113" s="551"/>
      <c r="D1113" s="551"/>
      <c r="E1113" s="552"/>
      <c r="F1113" s="552"/>
      <c r="G1113" s="552"/>
      <c r="H1113" s="552"/>
      <c r="I1113" s="552"/>
      <c r="J1113" s="552"/>
      <c r="K1113" s="553"/>
      <c r="L1113" s="554"/>
      <c r="M1113" s="554"/>
      <c r="N1113" s="554"/>
      <c r="O1113" s="555"/>
      <c r="P1113" s="555"/>
    </row>
    <row r="1114" spans="1:16" ht="21.75" customHeight="1" x14ac:dyDescent="0.25">
      <c r="A1114" s="551"/>
      <c r="B1114" s="551"/>
      <c r="C1114" s="551"/>
      <c r="D1114" s="551"/>
      <c r="E1114" s="552"/>
      <c r="F1114" s="552"/>
      <c r="G1114" s="552"/>
      <c r="H1114" s="552"/>
      <c r="I1114" s="552"/>
      <c r="J1114" s="552"/>
      <c r="K1114" s="553"/>
      <c r="L1114" s="554"/>
      <c r="M1114" s="554"/>
      <c r="N1114" s="554"/>
      <c r="O1114" s="555"/>
      <c r="P1114" s="555"/>
    </row>
    <row r="1115" spans="1:16" ht="21.75" customHeight="1" x14ac:dyDescent="0.25">
      <c r="A1115" s="551"/>
      <c r="B1115" s="551"/>
      <c r="C1115" s="551"/>
      <c r="D1115" s="551"/>
      <c r="E1115" s="552"/>
      <c r="F1115" s="552"/>
      <c r="G1115" s="552"/>
      <c r="H1115" s="552"/>
      <c r="I1115" s="552"/>
      <c r="J1115" s="552"/>
      <c r="K1115" s="553"/>
      <c r="L1115" s="554"/>
      <c r="M1115" s="554"/>
      <c r="N1115" s="554"/>
      <c r="O1115" s="555"/>
      <c r="P1115" s="555"/>
    </row>
    <row r="1116" spans="1:16" ht="21.75" customHeight="1" x14ac:dyDescent="0.25">
      <c r="A1116" s="551"/>
      <c r="B1116" s="551"/>
      <c r="C1116" s="551"/>
      <c r="D1116" s="551"/>
      <c r="E1116" s="552"/>
      <c r="F1116" s="552"/>
      <c r="G1116" s="552"/>
      <c r="H1116" s="552"/>
      <c r="I1116" s="552"/>
      <c r="J1116" s="552"/>
      <c r="K1116" s="553"/>
      <c r="L1116" s="554"/>
      <c r="M1116" s="554"/>
      <c r="N1116" s="554"/>
      <c r="O1116" s="555"/>
      <c r="P1116" s="555"/>
    </row>
    <row r="1117" spans="1:16" ht="21.75" customHeight="1" x14ac:dyDescent="0.25">
      <c r="A1117" s="551"/>
      <c r="B1117" s="551"/>
      <c r="C1117" s="551"/>
      <c r="D1117" s="551"/>
      <c r="E1117" s="552"/>
      <c r="F1117" s="552"/>
      <c r="G1117" s="552"/>
      <c r="H1117" s="552"/>
      <c r="I1117" s="552"/>
      <c r="J1117" s="552"/>
      <c r="K1117" s="553"/>
      <c r="L1117" s="554"/>
      <c r="M1117" s="554"/>
      <c r="N1117" s="554"/>
      <c r="O1117" s="555"/>
      <c r="P1117" s="555"/>
    </row>
    <row r="1118" spans="1:16" ht="21.75" customHeight="1" x14ac:dyDescent="0.25">
      <c r="A1118" s="551"/>
      <c r="B1118" s="551"/>
      <c r="C1118" s="551"/>
      <c r="D1118" s="551"/>
      <c r="E1118" s="552"/>
      <c r="F1118" s="552"/>
      <c r="G1118" s="552"/>
      <c r="H1118" s="552"/>
      <c r="I1118" s="552"/>
      <c r="J1118" s="552"/>
      <c r="K1118" s="553"/>
      <c r="L1118" s="554"/>
      <c r="M1118" s="554"/>
      <c r="N1118" s="554"/>
      <c r="O1118" s="555"/>
      <c r="P1118" s="555"/>
    </row>
    <row r="1119" spans="1:16" ht="21.75" customHeight="1" x14ac:dyDescent="0.25">
      <c r="A1119" s="551"/>
      <c r="B1119" s="551"/>
      <c r="C1119" s="551"/>
      <c r="D1119" s="551"/>
      <c r="E1119" s="552"/>
      <c r="F1119" s="552"/>
      <c r="G1119" s="552"/>
      <c r="H1119" s="552"/>
      <c r="I1119" s="552"/>
      <c r="J1119" s="552"/>
      <c r="K1119" s="553"/>
      <c r="L1119" s="554"/>
      <c r="M1119" s="554"/>
      <c r="N1119" s="554"/>
      <c r="O1119" s="555"/>
      <c r="P1119" s="555"/>
    </row>
    <row r="1120" spans="1:16" ht="21.75" customHeight="1" x14ac:dyDescent="0.25">
      <c r="A1120" s="551"/>
      <c r="B1120" s="551"/>
      <c r="C1120" s="551"/>
      <c r="D1120" s="551"/>
      <c r="E1120" s="552"/>
      <c r="F1120" s="552"/>
      <c r="G1120" s="552"/>
      <c r="H1120" s="552"/>
      <c r="I1120" s="552"/>
      <c r="J1120" s="552"/>
      <c r="K1120" s="553"/>
      <c r="L1120" s="554"/>
      <c r="M1120" s="554"/>
      <c r="N1120" s="554"/>
      <c r="O1120" s="555"/>
      <c r="P1120" s="555"/>
    </row>
    <row r="1121" spans="1:16" ht="21.75" customHeight="1" x14ac:dyDescent="0.25">
      <c r="A1121" s="551"/>
      <c r="B1121" s="551"/>
      <c r="C1121" s="551"/>
      <c r="D1121" s="551"/>
      <c r="E1121" s="552"/>
      <c r="F1121" s="552"/>
      <c r="G1121" s="552"/>
      <c r="H1121" s="552"/>
      <c r="I1121" s="552"/>
      <c r="J1121" s="552"/>
      <c r="K1121" s="553"/>
      <c r="L1121" s="554"/>
      <c r="M1121" s="554"/>
      <c r="N1121" s="554"/>
      <c r="O1121" s="555"/>
      <c r="P1121" s="555"/>
    </row>
    <row r="1122" spans="1:16" ht="21.75" customHeight="1" x14ac:dyDescent="0.25">
      <c r="A1122" s="551"/>
      <c r="B1122" s="551"/>
      <c r="C1122" s="551"/>
      <c r="D1122" s="551"/>
      <c r="E1122" s="552"/>
      <c r="F1122" s="552"/>
      <c r="G1122" s="552"/>
      <c r="H1122" s="552"/>
      <c r="I1122" s="552"/>
      <c r="J1122" s="552"/>
      <c r="K1122" s="553"/>
      <c r="L1122" s="554"/>
      <c r="M1122" s="554"/>
      <c r="N1122" s="554"/>
      <c r="O1122" s="555"/>
      <c r="P1122" s="555"/>
    </row>
    <row r="1123" spans="1:16" ht="21.75" customHeight="1" x14ac:dyDescent="0.25">
      <c r="A1123" s="551"/>
      <c r="B1123" s="551"/>
      <c r="C1123" s="551"/>
      <c r="D1123" s="551"/>
      <c r="E1123" s="552"/>
      <c r="F1123" s="552"/>
      <c r="G1123" s="552"/>
      <c r="H1123" s="552"/>
      <c r="I1123" s="552"/>
      <c r="J1123" s="552"/>
      <c r="K1123" s="553"/>
      <c r="L1123" s="554"/>
      <c r="M1123" s="554"/>
      <c r="N1123" s="554"/>
      <c r="O1123" s="555"/>
      <c r="P1123" s="555"/>
    </row>
    <row r="1124" spans="1:16" ht="21.75" customHeight="1" x14ac:dyDescent="0.25">
      <c r="A1124" s="551"/>
      <c r="B1124" s="551"/>
      <c r="C1124" s="551"/>
      <c r="D1124" s="551"/>
      <c r="E1124" s="552"/>
      <c r="F1124" s="552"/>
      <c r="G1124" s="552"/>
      <c r="H1124" s="552"/>
      <c r="I1124" s="552"/>
      <c r="J1124" s="552"/>
      <c r="K1124" s="553"/>
      <c r="L1124" s="554"/>
      <c r="M1124" s="554"/>
      <c r="N1124" s="554"/>
      <c r="O1124" s="555"/>
      <c r="P1124" s="555"/>
    </row>
    <row r="1125" spans="1:16" ht="21.75" customHeight="1" x14ac:dyDescent="0.25">
      <c r="A1125" s="551"/>
      <c r="B1125" s="551"/>
      <c r="C1125" s="551"/>
      <c r="D1125" s="551"/>
      <c r="E1125" s="552"/>
      <c r="F1125" s="552"/>
      <c r="G1125" s="552"/>
      <c r="H1125" s="552"/>
      <c r="I1125" s="552"/>
      <c r="J1125" s="552"/>
      <c r="K1125" s="553"/>
      <c r="L1125" s="554"/>
      <c r="M1125" s="554"/>
      <c r="N1125" s="554"/>
      <c r="O1125" s="555"/>
      <c r="P1125" s="555"/>
    </row>
    <row r="1126" spans="1:16" ht="21.75" customHeight="1" x14ac:dyDescent="0.25">
      <c r="A1126" s="551"/>
      <c r="B1126" s="551"/>
      <c r="C1126" s="551"/>
      <c r="D1126" s="551"/>
      <c r="E1126" s="552"/>
      <c r="F1126" s="552"/>
      <c r="G1126" s="552"/>
      <c r="H1126" s="552"/>
      <c r="I1126" s="552"/>
      <c r="J1126" s="552"/>
      <c r="K1126" s="553"/>
      <c r="L1126" s="554"/>
      <c r="M1126" s="554"/>
      <c r="N1126" s="554"/>
      <c r="O1126" s="555"/>
      <c r="P1126" s="555"/>
    </row>
    <row r="1127" spans="1:16" ht="21.75" customHeight="1" x14ac:dyDescent="0.25">
      <c r="A1127" s="551"/>
      <c r="B1127" s="551"/>
      <c r="C1127" s="551"/>
      <c r="D1127" s="551"/>
      <c r="E1127" s="552"/>
      <c r="F1127" s="552"/>
      <c r="G1127" s="552"/>
      <c r="H1127" s="552"/>
      <c r="I1127" s="552"/>
      <c r="J1127" s="552"/>
      <c r="K1127" s="553"/>
      <c r="L1127" s="554"/>
      <c r="M1127" s="554"/>
      <c r="N1127" s="554"/>
      <c r="O1127" s="555"/>
      <c r="P1127" s="555"/>
    </row>
    <row r="1128" spans="1:16" ht="21.75" customHeight="1" x14ac:dyDescent="0.25">
      <c r="A1128" s="551"/>
      <c r="B1128" s="551"/>
      <c r="C1128" s="551"/>
      <c r="D1128" s="551"/>
      <c r="E1128" s="552"/>
      <c r="F1128" s="552"/>
      <c r="G1128" s="552"/>
      <c r="H1128" s="552"/>
      <c r="I1128" s="552"/>
      <c r="J1128" s="552"/>
      <c r="K1128" s="553"/>
      <c r="L1128" s="554"/>
      <c r="M1128" s="554"/>
      <c r="N1128" s="554"/>
      <c r="O1128" s="555"/>
      <c r="P1128" s="555"/>
    </row>
    <row r="1129" spans="1:16" ht="21.75" customHeight="1" x14ac:dyDescent="0.25">
      <c r="A1129" s="551"/>
      <c r="B1129" s="551"/>
      <c r="C1129" s="551"/>
      <c r="D1129" s="551"/>
      <c r="E1129" s="552"/>
      <c r="F1129" s="552"/>
      <c r="G1129" s="552"/>
      <c r="H1129" s="552"/>
      <c r="I1129" s="552"/>
      <c r="J1129" s="552"/>
      <c r="K1129" s="553"/>
      <c r="L1129" s="554"/>
      <c r="M1129" s="554"/>
      <c r="N1129" s="554"/>
      <c r="O1129" s="555"/>
      <c r="P1129" s="555"/>
    </row>
    <row r="1130" spans="1:16" ht="21.75" customHeight="1" x14ac:dyDescent="0.25">
      <c r="A1130" s="551"/>
      <c r="B1130" s="551"/>
      <c r="C1130" s="551"/>
      <c r="D1130" s="551"/>
      <c r="E1130" s="552"/>
      <c r="F1130" s="552"/>
      <c r="G1130" s="552"/>
      <c r="H1130" s="552"/>
      <c r="I1130" s="552"/>
      <c r="J1130" s="552"/>
      <c r="K1130" s="553"/>
      <c r="L1130" s="554"/>
      <c r="M1130" s="554"/>
      <c r="N1130" s="554"/>
      <c r="O1130" s="555"/>
      <c r="P1130" s="555"/>
    </row>
    <row r="1131" spans="1:16" ht="21.75" customHeight="1" x14ac:dyDescent="0.25">
      <c r="A1131" s="551"/>
      <c r="B1131" s="551"/>
      <c r="C1131" s="551"/>
      <c r="D1131" s="551"/>
      <c r="E1131" s="552"/>
      <c r="F1131" s="552"/>
      <c r="G1131" s="552"/>
      <c r="H1131" s="552"/>
      <c r="I1131" s="552"/>
      <c r="J1131" s="552"/>
      <c r="K1131" s="553"/>
      <c r="L1131" s="554"/>
      <c r="M1131" s="554"/>
      <c r="N1131" s="554"/>
      <c r="O1131" s="555"/>
      <c r="P1131" s="555"/>
    </row>
    <row r="1132" spans="1:16" ht="21.75" customHeight="1" x14ac:dyDescent="0.25">
      <c r="A1132" s="551"/>
      <c r="B1132" s="551"/>
      <c r="C1132" s="551"/>
      <c r="D1132" s="551"/>
      <c r="E1132" s="552"/>
      <c r="F1132" s="552"/>
      <c r="G1132" s="552"/>
      <c r="H1132" s="552"/>
      <c r="I1132" s="552"/>
      <c r="J1132" s="552"/>
      <c r="K1132" s="553"/>
      <c r="L1132" s="554"/>
      <c r="M1132" s="554"/>
      <c r="N1132" s="554"/>
      <c r="O1132" s="555"/>
      <c r="P1132" s="555"/>
    </row>
    <row r="1133" spans="1:16" ht="21.75" customHeight="1" x14ac:dyDescent="0.25">
      <c r="A1133" s="551"/>
      <c r="B1133" s="551"/>
      <c r="C1133" s="551"/>
      <c r="D1133" s="551"/>
      <c r="E1133" s="552"/>
      <c r="F1133" s="552"/>
      <c r="G1133" s="552"/>
      <c r="H1133" s="552"/>
      <c r="I1133" s="552"/>
      <c r="J1133" s="552"/>
      <c r="K1133" s="553"/>
      <c r="L1133" s="554"/>
      <c r="M1133" s="554"/>
      <c r="N1133" s="554"/>
      <c r="O1133" s="555"/>
      <c r="P1133" s="555"/>
    </row>
    <row r="1134" spans="1:16" ht="21.75" customHeight="1" x14ac:dyDescent="0.25">
      <c r="A1134" s="551"/>
      <c r="B1134" s="551"/>
      <c r="C1134" s="551"/>
      <c r="D1134" s="551"/>
      <c r="E1134" s="552"/>
      <c r="F1134" s="552"/>
      <c r="G1134" s="552"/>
      <c r="H1134" s="552"/>
      <c r="I1134" s="552"/>
      <c r="J1134" s="552"/>
      <c r="K1134" s="553"/>
      <c r="L1134" s="554"/>
      <c r="M1134" s="554"/>
      <c r="N1134" s="554"/>
      <c r="O1134" s="555"/>
      <c r="P1134" s="555"/>
    </row>
    <row r="1135" spans="1:16" ht="21.75" customHeight="1" x14ac:dyDescent="0.25">
      <c r="A1135" s="551"/>
      <c r="B1135" s="551"/>
      <c r="C1135" s="551"/>
      <c r="D1135" s="551"/>
      <c r="E1135" s="552"/>
      <c r="F1135" s="552"/>
      <c r="G1135" s="552"/>
      <c r="H1135" s="552"/>
      <c r="I1135" s="552"/>
      <c r="J1135" s="552"/>
      <c r="K1135" s="553"/>
      <c r="L1135" s="554"/>
      <c r="M1135" s="554"/>
      <c r="N1135" s="554"/>
      <c r="O1135" s="555"/>
      <c r="P1135" s="555"/>
    </row>
    <row r="1136" spans="1:16" ht="21.75" customHeight="1" x14ac:dyDescent="0.25">
      <c r="A1136" s="551"/>
      <c r="B1136" s="551"/>
      <c r="C1136" s="551"/>
      <c r="D1136" s="551"/>
      <c r="E1136" s="552"/>
      <c r="F1136" s="552"/>
      <c r="G1136" s="552"/>
      <c r="H1136" s="552"/>
      <c r="I1136" s="552"/>
      <c r="J1136" s="552"/>
      <c r="K1136" s="553"/>
      <c r="L1136" s="554"/>
      <c r="M1136" s="554"/>
      <c r="N1136" s="554"/>
      <c r="O1136" s="555"/>
      <c r="P1136" s="555"/>
    </row>
    <row r="1137" spans="1:16" ht="21.75" customHeight="1" x14ac:dyDescent="0.25">
      <c r="A1137" s="551"/>
      <c r="B1137" s="551"/>
      <c r="C1137" s="551"/>
      <c r="D1137" s="551"/>
      <c r="E1137" s="552"/>
      <c r="F1137" s="552"/>
      <c r="G1137" s="552"/>
      <c r="H1137" s="552"/>
      <c r="I1137" s="552"/>
      <c r="J1137" s="552"/>
      <c r="K1137" s="553"/>
      <c r="L1137" s="554"/>
      <c r="M1137" s="554"/>
      <c r="N1137" s="554"/>
      <c r="O1137" s="555"/>
      <c r="P1137" s="555"/>
    </row>
    <row r="1138" spans="1:16" ht="21.75" customHeight="1" x14ac:dyDescent="0.25">
      <c r="A1138" s="551"/>
      <c r="B1138" s="551"/>
      <c r="C1138" s="551"/>
      <c r="D1138" s="551"/>
      <c r="E1138" s="552"/>
      <c r="F1138" s="552"/>
      <c r="G1138" s="552"/>
      <c r="H1138" s="552"/>
      <c r="I1138" s="552"/>
      <c r="J1138" s="552"/>
      <c r="K1138" s="553"/>
      <c r="L1138" s="554"/>
      <c r="M1138" s="554"/>
      <c r="N1138" s="554"/>
      <c r="O1138" s="555"/>
      <c r="P1138" s="555"/>
    </row>
    <row r="1139" spans="1:16" ht="21.75" customHeight="1" x14ac:dyDescent="0.25">
      <c r="A1139" s="551"/>
      <c r="B1139" s="551"/>
      <c r="C1139" s="551"/>
      <c r="D1139" s="551"/>
      <c r="E1139" s="552"/>
      <c r="F1139" s="552"/>
      <c r="G1139" s="552"/>
      <c r="H1139" s="552"/>
      <c r="I1139" s="552"/>
      <c r="J1139" s="552"/>
      <c r="K1139" s="553"/>
      <c r="L1139" s="554"/>
      <c r="M1139" s="554"/>
      <c r="N1139" s="554"/>
      <c r="O1139" s="555"/>
      <c r="P1139" s="555"/>
    </row>
    <row r="1140" spans="1:16" ht="21.75" customHeight="1" x14ac:dyDescent="0.25">
      <c r="A1140" s="551"/>
      <c r="B1140" s="551"/>
      <c r="C1140" s="551"/>
      <c r="D1140" s="551"/>
      <c r="E1140" s="552"/>
      <c r="F1140" s="552"/>
      <c r="G1140" s="552"/>
      <c r="H1140" s="552"/>
      <c r="I1140" s="552"/>
      <c r="J1140" s="552"/>
      <c r="K1140" s="553"/>
      <c r="L1140" s="554"/>
      <c r="M1140" s="554"/>
      <c r="N1140" s="554"/>
      <c r="O1140" s="555"/>
      <c r="P1140" s="555"/>
    </row>
    <row r="1141" spans="1:16" ht="21.75" customHeight="1" x14ac:dyDescent="0.25">
      <c r="A1141" s="551"/>
      <c r="B1141" s="551"/>
      <c r="C1141" s="551"/>
      <c r="D1141" s="551"/>
      <c r="E1141" s="552"/>
      <c r="F1141" s="552"/>
      <c r="G1141" s="552"/>
      <c r="H1141" s="552"/>
      <c r="I1141" s="552"/>
      <c r="J1141" s="552"/>
      <c r="K1141" s="553"/>
      <c r="L1141" s="554"/>
      <c r="M1141" s="554"/>
      <c r="N1141" s="554"/>
      <c r="O1141" s="555"/>
      <c r="P1141" s="555"/>
    </row>
    <row r="1142" spans="1:16" ht="21.75" customHeight="1" x14ac:dyDescent="0.25">
      <c r="A1142" s="551"/>
      <c r="B1142" s="551"/>
      <c r="C1142" s="551"/>
      <c r="D1142" s="551"/>
      <c r="E1142" s="552"/>
      <c r="F1142" s="552"/>
      <c r="G1142" s="552"/>
      <c r="H1142" s="552"/>
      <c r="I1142" s="552"/>
      <c r="J1142" s="552"/>
      <c r="K1142" s="553"/>
      <c r="L1142" s="554"/>
      <c r="M1142" s="554"/>
      <c r="N1142" s="554"/>
      <c r="O1142" s="555"/>
      <c r="P1142" s="555"/>
    </row>
    <row r="1143" spans="1:16" ht="21.75" customHeight="1" x14ac:dyDescent="0.25">
      <c r="A1143" s="551"/>
      <c r="B1143" s="551"/>
      <c r="C1143" s="551"/>
      <c r="D1143" s="551"/>
      <c r="E1143" s="552"/>
      <c r="F1143" s="552"/>
      <c r="G1143" s="552"/>
      <c r="H1143" s="552"/>
      <c r="I1143" s="552"/>
      <c r="J1143" s="552"/>
      <c r="K1143" s="553"/>
      <c r="L1143" s="554"/>
      <c r="M1143" s="554"/>
      <c r="N1143" s="554"/>
      <c r="O1143" s="555"/>
      <c r="P1143" s="555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42</vt:i4>
      </vt:variant>
    </vt:vector>
  </HeadingPairs>
  <TitlesOfParts>
    <vt:vector size="6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2022-08-04T04:22:34Z</cp:lastPrinted>
  <dcterms:modified xsi:type="dcterms:W3CDTF">2022-08-04T04:25:01Z</dcterms:modified>
</cp:coreProperties>
</file>